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905" windowWidth="18945" windowHeight="6135" activeTab="0"/>
  </bookViews>
  <sheets>
    <sheet name="LT Corp Bond" sheetId="1" r:id="rId1"/>
    <sheet name="LT Corp Bond-individual" sheetId="2" r:id="rId2"/>
    <sheet name="Commercial Paper" sheetId="3" r:id="rId3"/>
  </sheets>
  <definedNames>
    <definedName name="_xlfn.SINGLE" hidden="1">#NAME?</definedName>
    <definedName name="_xlnm.Print_Area" localSheetId="2">'Commercial Paper'!$A$1:$D$18</definedName>
    <definedName name="_xlnm.Print_Area" localSheetId="0">'LT Corp Bond'!$A$1:$D$15</definedName>
    <definedName name="_xlnm.Print_Area" localSheetId="1">'LT Corp Bond-individual'!$A$1:$D$15</definedName>
  </definedNames>
  <calcPr fullCalcOnLoad="1"/>
</workbook>
</file>

<file path=xl/sharedStrings.xml><?xml version="1.0" encoding="utf-8"?>
<sst xmlns="http://schemas.openxmlformats.org/spreadsheetml/2006/main" count="124" uniqueCount="56">
  <si>
    <t>(excluded VAT)</t>
  </si>
  <si>
    <t>Issue Size</t>
  </si>
  <si>
    <t>Term(s)</t>
  </si>
  <si>
    <t>Total registered fee</t>
  </si>
  <si>
    <t>Please fill out on yellow area</t>
  </si>
  <si>
    <t>VAT (7%)</t>
  </si>
  <si>
    <t>GRAND TOTAL FEES</t>
  </si>
  <si>
    <t>vat 7 %</t>
  </si>
  <si>
    <t>Grand Total</t>
  </si>
  <si>
    <t>Million Baht</t>
  </si>
  <si>
    <t>Application Fee (ยื่นคำขอ)</t>
  </si>
  <si>
    <t>REGISTERED FEE</t>
  </si>
  <si>
    <t>1,2,3,4,…..</t>
  </si>
  <si>
    <t>Calculation area</t>
  </si>
  <si>
    <t>Maintenance Fee  (ค่าธรรมเนียมรายปี)</t>
  </si>
  <si>
    <t>of Issue Size</t>
  </si>
  <si>
    <t>Upfront Fee         (แรกเข้า)</t>
  </si>
  <si>
    <t>% of issue size, between 35,000 to 350,000</t>
  </si>
  <si>
    <t>% if &lt; 270 days</t>
  </si>
  <si>
    <t>fixed rate</t>
  </si>
  <si>
    <t>No. of issue registered with ThaiBMA within a calendar year</t>
  </si>
  <si>
    <t>Upfront Fee (แรกเข้า)</t>
  </si>
  <si>
    <t>% of issue size (term = &gt;270D - 5th yrs)</t>
  </si>
  <si>
    <t>% of issue size if (term = 6th-7th yrs)</t>
  </si>
  <si>
    <t>Commercial Paper Registration Fee Calculation</t>
  </si>
  <si>
    <t>Total</t>
  </si>
  <si>
    <t>Vat 7 %</t>
  </si>
  <si>
    <t xml:space="preserve">Discount  </t>
  </si>
  <si>
    <t xml:space="preserve"> (exceeding value of 0.02% of issue size)</t>
  </si>
  <si>
    <t>Long-term Corporate Bond Registration Fee Calculation</t>
  </si>
  <si>
    <t>Issue Date</t>
  </si>
  <si>
    <t>Maturity Date</t>
  </si>
  <si>
    <t>Issue Term</t>
  </si>
  <si>
    <t>Days</t>
  </si>
  <si>
    <t>Max</t>
  </si>
  <si>
    <t>Min</t>
  </si>
  <si>
    <t>Fee</t>
  </si>
  <si>
    <t>0.01% of Issue Size</t>
  </si>
  <si>
    <t>DD/MM/YY</t>
  </si>
  <si>
    <t>No. of Days</t>
  </si>
  <si>
    <t>No. of Months</t>
  </si>
  <si>
    <t>No. of Years</t>
  </si>
  <si>
    <t>Previous Date</t>
  </si>
  <si>
    <t>Days &lt;= 90</t>
  </si>
  <si>
    <t>90 &lt; Days &lt;= 180</t>
  </si>
  <si>
    <t>180 &lt; Days</t>
  </si>
  <si>
    <t>Multiplier</t>
  </si>
  <si>
    <t>% of issue size, between 17,500 to 175,000</t>
  </si>
  <si>
    <t>exempt</t>
  </si>
  <si>
    <t>a. if the fraction of the year is less than 90 days, the maintenance fee will be 25% of the 1-year maintenance fee</t>
  </si>
  <si>
    <t>b. if the fraction of the year is more than 90 days but not more than 180 days, the maintenance fee will be 50% of 1-year maintenance fee</t>
  </si>
  <si>
    <t>c. if the fraction of the year is more than 180 days, the maintenance fee will be equal to 1-year maintenance fee</t>
  </si>
  <si>
    <t>Issue Term (&gt;270 days)*</t>
  </si>
  <si>
    <t>** If the term of the bond consists of the fraction of a year, the maintenance fee will be calculated as follows;</t>
  </si>
  <si>
    <t>Issue Term Calculation Method: Act/365</t>
  </si>
  <si>
    <t>none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</si>
</sst>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&quot;£&quot;* #,##0.00_-;\-&quot;£&quot;* #,##0.00_-;_-&quot;£&quot;* &quot;-&quot;??_-;_-@_-"/>
    <numFmt numFmtId="219" formatCode="\t&quot;£&quot;#,##0_);\(\t&quot;£&quot;#,##0\)"/>
    <numFmt numFmtId="220" formatCode="\t&quot;£&quot;#,##0_);[Red]\(\t&quot;£&quot;#,##0\)"/>
    <numFmt numFmtId="221" formatCode="\t&quot;£&quot;#,##0.00_);\(\t&quot;£&quot;#,##0.00\)"/>
    <numFmt numFmtId="222" formatCode="\t&quot;£&quot;#,##0.00_);[Red]\(\t&quot;£&quot;#,##0.00\)"/>
    <numFmt numFmtId="223" formatCode="0.0"/>
    <numFmt numFmtId="224" formatCode="_-* #,##0.000_-;\-* #,##0.000_-;_-* &quot;-&quot;??_-;_-@_-"/>
    <numFmt numFmtId="225" formatCode="_-* #,##0.0_-;\-* #,##0.0_-;_-* &quot;-&quot;??_-;_-@_-"/>
    <numFmt numFmtId="226" formatCode="_-* #,##0_-;\-* #,##0_-;_-* &quot;-&quot;??_-;_-@_-"/>
    <numFmt numFmtId="227" formatCode="_-* #,##0.000_-;\-* #,##0.000_-;_-* &quot;-&quot;???_-;_-@_-"/>
    <numFmt numFmtId="228" formatCode="[$-41E]d\ mmmm\ yyyy"/>
    <numFmt numFmtId="229" formatCode="0.000%"/>
    <numFmt numFmtId="230" formatCode="0.0%"/>
    <numFmt numFmtId="231" formatCode="0.0000%"/>
    <numFmt numFmtId="232" formatCode="0.00000%"/>
    <numFmt numFmtId="233" formatCode="0.000000%"/>
    <numFmt numFmtId="234" formatCode="0.00000"/>
    <numFmt numFmtId="235" formatCode="[$-409]dddd\,\ mmmm\ dd\,\ yyyy"/>
    <numFmt numFmtId="236" formatCode="[$-409]d\-mmm\-yy;@"/>
    <numFmt numFmtId="237" formatCode="[$-101041E]d\ mmm\ yy;@"/>
    <numFmt numFmtId="238" formatCode="[$-1010000]d/m/yy;@"/>
    <numFmt numFmtId="239" formatCode="mm/dd/yy;@"/>
    <numFmt numFmtId="240" formatCode="_(* #,##0.00000_);_(* \(#,##0.00000\);_(* &quot;-&quot;?????_);_(@_)"/>
    <numFmt numFmtId="241" formatCode="&quot;Yes&quot;;&quot;Yes&quot;;&quot;No&quot;"/>
    <numFmt numFmtId="242" formatCode="&quot;True&quot;;&quot;True&quot;;&quot;False&quot;"/>
    <numFmt numFmtId="243" formatCode="&quot;On&quot;;&quot;On&quot;;&quot;Off&quot;"/>
    <numFmt numFmtId="244" formatCode="[$€-2]\ #,##0.00_);[Red]\([$€-2]\ #,##0.00\)"/>
  </numFmts>
  <fonts count="6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6"/>
      <name val="Tahoma"/>
      <family val="2"/>
    </font>
    <font>
      <b/>
      <sz val="10"/>
      <color indexed="17"/>
      <name val="Tahoma"/>
      <family val="2"/>
    </font>
    <font>
      <b/>
      <sz val="10"/>
      <name val="Tahoma"/>
      <family val="2"/>
    </font>
    <font>
      <b/>
      <sz val="10"/>
      <color indexed="14"/>
      <name val="Tahoma"/>
      <family val="2"/>
    </font>
    <font>
      <sz val="10"/>
      <color indexed="12"/>
      <name val="Tahoma"/>
      <family val="2"/>
    </font>
    <font>
      <b/>
      <sz val="10"/>
      <color indexed="48"/>
      <name val="Tahoma"/>
      <family val="2"/>
    </font>
    <font>
      <sz val="10"/>
      <color indexed="60"/>
      <name val="Tahoma"/>
      <family val="2"/>
    </font>
    <font>
      <b/>
      <sz val="10"/>
      <color indexed="8"/>
      <name val="Tahoma"/>
      <family val="2"/>
    </font>
    <font>
      <b/>
      <sz val="13"/>
      <color indexed="9"/>
      <name val="Tahoma"/>
      <family val="2"/>
    </font>
    <font>
      <i/>
      <sz val="10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17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53"/>
      <name val="Tahoma"/>
      <family val="2"/>
    </font>
    <font>
      <b/>
      <sz val="10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0"/>
      <color theme="9" tint="-0.24997000396251678"/>
      <name val="Tahoma"/>
      <family val="2"/>
    </font>
    <font>
      <b/>
      <sz val="10"/>
      <color theme="9"/>
      <name val="Tahoma"/>
      <family val="2"/>
    </font>
    <font>
      <b/>
      <sz val="10"/>
      <color theme="3" tint="0.39998000860214233"/>
      <name val="Tahoma"/>
      <family val="2"/>
    </font>
    <font>
      <b/>
      <sz val="10"/>
      <color rgb="FFFF0000"/>
      <name val="Tahoma"/>
      <family val="2"/>
    </font>
    <font>
      <sz val="10"/>
      <color rgb="FF0099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194" fontId="3" fillId="0" borderId="0" xfId="42" applyFont="1" applyAlignment="1" applyProtection="1">
      <alignment vertical="top"/>
      <protection/>
    </xf>
    <xf numFmtId="0" fontId="4" fillId="0" borderId="0" xfId="0" applyFont="1" applyFill="1" applyAlignment="1" applyProtection="1">
      <alignment horizontal="right" vertical="top"/>
      <protection/>
    </xf>
    <xf numFmtId="0" fontId="4" fillId="0" borderId="0" xfId="0" applyFont="1" applyFill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top"/>
      <protection/>
    </xf>
    <xf numFmtId="0" fontId="5" fillId="34" borderId="11" xfId="0" applyFont="1" applyFill="1" applyBorder="1" applyAlignment="1" applyProtection="1">
      <alignment vertical="top"/>
      <protection/>
    </xf>
    <xf numFmtId="0" fontId="3" fillId="0" borderId="15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vertical="top"/>
      <protection/>
    </xf>
    <xf numFmtId="0" fontId="3" fillId="0" borderId="17" xfId="0" applyFont="1" applyBorder="1" applyAlignment="1" applyProtection="1">
      <alignment vertical="top"/>
      <protection/>
    </xf>
    <xf numFmtId="194" fontId="8" fillId="35" borderId="11" xfId="42" applyFont="1" applyFill="1" applyBorder="1" applyAlignment="1" applyProtection="1">
      <alignment vertical="top"/>
      <protection/>
    </xf>
    <xf numFmtId="4" fontId="3" fillId="0" borderId="0" xfId="0" applyNumberFormat="1" applyFont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/>
      <protection/>
    </xf>
    <xf numFmtId="194" fontId="10" fillId="35" borderId="11" xfId="42" applyFont="1" applyFill="1" applyBorder="1" applyAlignment="1" applyProtection="1">
      <alignment vertical="top"/>
      <protection/>
    </xf>
    <xf numFmtId="0" fontId="11" fillId="33" borderId="11" xfId="0" applyFont="1" applyFill="1" applyBorder="1" applyAlignment="1" applyProtection="1">
      <alignment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194" fontId="12" fillId="35" borderId="11" xfId="42" applyFont="1" applyFill="1" applyBorder="1" applyAlignment="1" applyProtection="1">
      <alignment vertical="top"/>
      <protection/>
    </xf>
    <xf numFmtId="0" fontId="3" fillId="0" borderId="18" xfId="0" applyFont="1" applyBorder="1" applyAlignment="1" applyProtection="1">
      <alignment vertical="top"/>
      <protection/>
    </xf>
    <xf numFmtId="194" fontId="3" fillId="0" borderId="0" xfId="0" applyNumberFormat="1" applyFont="1" applyAlignment="1" applyProtection="1">
      <alignment vertical="top"/>
      <protection/>
    </xf>
    <xf numFmtId="194" fontId="3" fillId="0" borderId="0" xfId="42" applyFont="1" applyBorder="1" applyAlignment="1" applyProtection="1">
      <alignment vertical="top"/>
      <protection/>
    </xf>
    <xf numFmtId="14" fontId="3" fillId="0" borderId="0" xfId="0" applyNumberFormat="1" applyFont="1" applyAlignment="1" applyProtection="1">
      <alignment vertical="top"/>
      <protection/>
    </xf>
    <xf numFmtId="194" fontId="6" fillId="36" borderId="0" xfId="42" applyFont="1" applyFill="1" applyBorder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0" fontId="3" fillId="0" borderId="21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194" fontId="3" fillId="0" borderId="0" xfId="42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vertical="top"/>
      <protection/>
    </xf>
    <xf numFmtId="229" fontId="9" fillId="0" borderId="23" xfId="0" applyNumberFormat="1" applyFont="1" applyBorder="1" applyAlignment="1" applyProtection="1">
      <alignment vertical="top"/>
      <protection/>
    </xf>
    <xf numFmtId="0" fontId="9" fillId="0" borderId="23" xfId="0" applyFont="1" applyBorder="1" applyAlignment="1" applyProtection="1">
      <alignment vertical="top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15" fillId="0" borderId="27" xfId="0" applyFont="1" applyBorder="1" applyAlignment="1" applyProtection="1">
      <alignment vertical="top"/>
      <protection/>
    </xf>
    <xf numFmtId="0" fontId="15" fillId="0" borderId="28" xfId="0" applyFont="1" applyBorder="1" applyAlignment="1" applyProtection="1">
      <alignment vertical="top"/>
      <protection/>
    </xf>
    <xf numFmtId="4" fontId="3" fillId="0" borderId="0" xfId="0" applyNumberFormat="1" applyFont="1" applyAlignment="1" applyProtection="1">
      <alignment vertical="center"/>
      <protection/>
    </xf>
    <xf numFmtId="4" fontId="3" fillId="0" borderId="0" xfId="42" applyNumberFormat="1" applyFont="1" applyAlignment="1" applyProtection="1">
      <alignment vertical="top"/>
      <protection/>
    </xf>
    <xf numFmtId="4" fontId="3" fillId="0" borderId="0" xfId="42" applyNumberFormat="1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194" fontId="7" fillId="0" borderId="29" xfId="42" applyFont="1" applyBorder="1" applyAlignment="1" applyProtection="1">
      <alignment horizontal="right" vertical="top"/>
      <protection/>
    </xf>
    <xf numFmtId="194" fontId="7" fillId="0" borderId="30" xfId="42" applyFont="1" applyBorder="1" applyAlignment="1" applyProtection="1">
      <alignment horizontal="right" vertical="top"/>
      <protection/>
    </xf>
    <xf numFmtId="194" fontId="7" fillId="0" borderId="31" xfId="42" applyFont="1" applyBorder="1" applyAlignment="1" applyProtection="1">
      <alignment horizontal="right" vertical="top"/>
      <protection/>
    </xf>
    <xf numFmtId="194" fontId="7" fillId="0" borderId="32" xfId="42" applyFont="1" applyBorder="1" applyAlignment="1" applyProtection="1">
      <alignment horizontal="right" vertical="top"/>
      <protection/>
    </xf>
    <xf numFmtId="194" fontId="7" fillId="0" borderId="33" xfId="42" applyFont="1" applyBorder="1" applyAlignment="1" applyProtection="1">
      <alignment horizontal="right" vertical="top"/>
      <protection/>
    </xf>
    <xf numFmtId="194" fontId="3" fillId="0" borderId="34" xfId="42" applyFont="1" applyBorder="1" applyAlignment="1" applyProtection="1">
      <alignment horizontal="right" vertical="top"/>
      <protection/>
    </xf>
    <xf numFmtId="194" fontId="3" fillId="0" borderId="29" xfId="42" applyFont="1" applyBorder="1" applyAlignment="1" applyProtection="1">
      <alignment horizontal="right" vertical="top"/>
      <protection/>
    </xf>
    <xf numFmtId="194" fontId="15" fillId="0" borderId="35" xfId="42" applyFont="1" applyBorder="1" applyAlignment="1" applyProtection="1">
      <alignment horizontal="right" vertical="top"/>
      <protection/>
    </xf>
    <xf numFmtId="194" fontId="14" fillId="0" borderId="36" xfId="42" applyFont="1" applyBorder="1" applyAlignment="1" applyProtection="1">
      <alignment horizontal="right" vertical="top"/>
      <protection/>
    </xf>
    <xf numFmtId="194" fontId="7" fillId="0" borderId="34" xfId="42" applyFont="1" applyBorder="1" applyAlignment="1" applyProtection="1">
      <alignment vertical="top"/>
      <protection/>
    </xf>
    <xf numFmtId="194" fontId="14" fillId="0" borderId="35" xfId="42" applyFont="1" applyBorder="1" applyAlignment="1" applyProtection="1">
      <alignment horizontal="right" vertical="top"/>
      <protection/>
    </xf>
    <xf numFmtId="0" fontId="16" fillId="0" borderId="37" xfId="0" applyFont="1" applyBorder="1" applyAlignment="1" applyProtection="1">
      <alignment vertical="top"/>
      <protection/>
    </xf>
    <xf numFmtId="0" fontId="16" fillId="0" borderId="38" xfId="0" applyFont="1" applyBorder="1" applyAlignment="1" applyProtection="1">
      <alignment vertical="top"/>
      <protection/>
    </xf>
    <xf numFmtId="0" fontId="16" fillId="0" borderId="39" xfId="0" applyFont="1" applyBorder="1" applyAlignment="1" applyProtection="1">
      <alignment vertical="top"/>
      <protection/>
    </xf>
    <xf numFmtId="194" fontId="4" fillId="0" borderId="40" xfId="42" applyFont="1" applyBorder="1" applyAlignment="1" applyProtection="1">
      <alignment horizontal="right" vertical="top"/>
      <protection/>
    </xf>
    <xf numFmtId="0" fontId="17" fillId="0" borderId="16" xfId="0" applyFont="1" applyBorder="1" applyAlignment="1" applyProtection="1">
      <alignment vertical="top"/>
      <protection/>
    </xf>
    <xf numFmtId="0" fontId="7" fillId="0" borderId="17" xfId="0" applyFont="1" applyBorder="1" applyAlignment="1" applyProtection="1">
      <alignment vertical="top"/>
      <protection/>
    </xf>
    <xf numFmtId="194" fontId="6" fillId="36" borderId="0" xfId="42" applyFont="1" applyFill="1" applyBorder="1" applyAlignment="1" applyProtection="1">
      <alignment vertical="top"/>
      <protection/>
    </xf>
    <xf numFmtId="4" fontId="18" fillId="36" borderId="0" xfId="42" applyNumberFormat="1" applyFont="1" applyFill="1" applyBorder="1" applyAlignment="1" applyProtection="1">
      <alignment horizontal="right" vertical="top"/>
      <protection locked="0"/>
    </xf>
    <xf numFmtId="234" fontId="9" fillId="0" borderId="0" xfId="0" applyNumberFormat="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6" fontId="6" fillId="36" borderId="11" xfId="42" applyNumberFormat="1" applyFont="1" applyFill="1" applyBorder="1" applyAlignment="1" applyProtection="1">
      <alignment vertical="top"/>
      <protection locked="0"/>
    </xf>
    <xf numFmtId="14" fontId="6" fillId="36" borderId="11" xfId="42" applyNumberFormat="1" applyFont="1" applyFill="1" applyBorder="1" applyAlignment="1" applyProtection="1">
      <alignment vertical="top"/>
      <protection locked="0"/>
    </xf>
    <xf numFmtId="1" fontId="7" fillId="35" borderId="11" xfId="42" applyNumberFormat="1" applyFont="1" applyFill="1" applyBorder="1" applyAlignment="1" applyProtection="1">
      <alignment vertical="top"/>
      <protection/>
    </xf>
    <xf numFmtId="194" fontId="7" fillId="35" borderId="11" xfId="42" applyFont="1" applyFill="1" applyBorder="1" applyAlignment="1" applyProtection="1">
      <alignment vertical="top"/>
      <protection/>
    </xf>
    <xf numFmtId="0" fontId="55" fillId="0" borderId="0" xfId="0" applyFont="1" applyAlignment="1" applyProtection="1">
      <alignment vertical="top"/>
      <protection/>
    </xf>
    <xf numFmtId="0" fontId="56" fillId="0" borderId="0" xfId="0" applyFont="1" applyAlignment="1" applyProtection="1">
      <alignment vertical="top"/>
      <protection/>
    </xf>
    <xf numFmtId="4" fontId="56" fillId="0" borderId="0" xfId="0" applyNumberFormat="1" applyFont="1" applyAlignment="1" applyProtection="1">
      <alignment vertical="top"/>
      <protection/>
    </xf>
    <xf numFmtId="14" fontId="57" fillId="0" borderId="0" xfId="42" applyNumberFormat="1" applyFont="1" applyFill="1" applyBorder="1" applyAlignment="1" applyProtection="1">
      <alignment horizontal="center" vertical="top"/>
      <protection locked="0"/>
    </xf>
    <xf numFmtId="0" fontId="57" fillId="0" borderId="0" xfId="0" applyFont="1" applyAlignment="1" applyProtection="1">
      <alignment vertical="top"/>
      <protection/>
    </xf>
    <xf numFmtId="4" fontId="3" fillId="0" borderId="0" xfId="0" applyNumberFormat="1" applyFont="1" applyBorder="1" applyAlignment="1" applyProtection="1">
      <alignment vertical="top"/>
      <protection/>
    </xf>
    <xf numFmtId="0" fontId="58" fillId="0" borderId="0" xfId="0" applyFont="1" applyAlignment="1" applyProtection="1">
      <alignment vertical="top"/>
      <protection/>
    </xf>
    <xf numFmtId="194" fontId="3" fillId="0" borderId="0" xfId="42" applyFont="1" applyBorder="1" applyAlignment="1" applyProtection="1">
      <alignment horizontal="right" vertical="top"/>
      <protection/>
    </xf>
    <xf numFmtId="194" fontId="7" fillId="0" borderId="0" xfId="42" applyFont="1" applyBorder="1" applyAlignment="1" applyProtection="1">
      <alignment horizontal="right" vertical="top"/>
      <protection/>
    </xf>
    <xf numFmtId="194" fontId="15" fillId="0" borderId="0" xfId="42" applyFont="1" applyBorder="1" applyAlignment="1" applyProtection="1">
      <alignment horizontal="right" vertical="top"/>
      <protection/>
    </xf>
    <xf numFmtId="194" fontId="14" fillId="0" borderId="0" xfId="42" applyFont="1" applyBorder="1" applyAlignment="1" applyProtection="1">
      <alignment horizontal="right" vertical="top"/>
      <protection/>
    </xf>
    <xf numFmtId="194" fontId="4" fillId="0" borderId="0" xfId="42" applyFont="1" applyBorder="1" applyAlignment="1" applyProtection="1">
      <alignment horizontal="right" vertical="top"/>
      <protection/>
    </xf>
    <xf numFmtId="194" fontId="6" fillId="36" borderId="11" xfId="42" applyFont="1" applyFill="1" applyBorder="1" applyAlignment="1" applyProtection="1">
      <alignment horizontal="right" vertical="top"/>
      <protection locked="0"/>
    </xf>
    <xf numFmtId="194" fontId="10" fillId="35" borderId="11" xfId="42" applyFont="1" applyFill="1" applyBorder="1" applyAlignment="1" applyProtection="1">
      <alignment horizontal="right" vertical="top"/>
      <protection/>
    </xf>
    <xf numFmtId="226" fontId="6" fillId="36" borderId="11" xfId="42" applyNumberFormat="1" applyFont="1" applyFill="1" applyBorder="1" applyAlignment="1" applyProtection="1">
      <alignment horizontal="right" vertical="top"/>
      <protection locked="0"/>
    </xf>
    <xf numFmtId="14" fontId="6" fillId="36" borderId="11" xfId="42" applyNumberFormat="1" applyFont="1" applyFill="1" applyBorder="1" applyAlignment="1" applyProtection="1">
      <alignment horizontal="right" vertical="top"/>
      <protection locked="0"/>
    </xf>
    <xf numFmtId="194" fontId="3" fillId="0" borderId="36" xfId="42" applyFont="1" applyBorder="1" applyAlignment="1" applyProtection="1">
      <alignment vertical="top"/>
      <protection/>
    </xf>
    <xf numFmtId="0" fontId="18" fillId="36" borderId="0" xfId="42" applyNumberFormat="1" applyFont="1" applyFill="1" applyBorder="1" applyAlignment="1" applyProtection="1">
      <alignment horizontal="right" vertical="top"/>
      <protection locked="0"/>
    </xf>
    <xf numFmtId="4" fontId="18" fillId="37" borderId="0" xfId="42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Alignment="1" applyProtection="1">
      <alignment vertical="top"/>
      <protection/>
    </xf>
    <xf numFmtId="0" fontId="13" fillId="38" borderId="0" xfId="0" applyFont="1" applyFill="1" applyAlignment="1" applyProtection="1">
      <alignment horizontal="left" vertical="center"/>
      <protection/>
    </xf>
    <xf numFmtId="0" fontId="13" fillId="38" borderId="0" xfId="0" applyFont="1" applyFill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showGridLines="0" tabSelected="1" zoomScale="85" zoomScaleNormal="85" zoomScalePageLayoutView="0" workbookViewId="0" topLeftCell="A1">
      <selection activeCell="B4" sqref="B4"/>
    </sheetView>
  </sheetViews>
  <sheetFormatPr defaultColWidth="9.140625" defaultRowHeight="21.75"/>
  <cols>
    <col min="1" max="1" width="44.00390625" style="3" customWidth="1"/>
    <col min="2" max="2" width="30.57421875" style="3" customWidth="1"/>
    <col min="3" max="3" width="19.00390625" style="3" bestFit="1" customWidth="1"/>
    <col min="4" max="4" width="13.140625" style="3" customWidth="1"/>
    <col min="5" max="5" width="13.00390625" style="3" customWidth="1"/>
    <col min="6" max="6" width="17.00390625" style="3" customWidth="1"/>
    <col min="7" max="7" width="7.00390625" style="3" customWidth="1"/>
    <col min="8" max="8" width="35.28125" style="3" customWidth="1"/>
    <col min="9" max="9" width="22.00390625" style="4" customWidth="1"/>
    <col min="10" max="10" width="17.421875" style="4" hidden="1" customWidth="1"/>
    <col min="11" max="11" width="12.421875" style="16" hidden="1" customWidth="1"/>
    <col min="12" max="12" width="14.140625" style="16" hidden="1" customWidth="1"/>
    <col min="13" max="13" width="7.00390625" style="3" hidden="1" customWidth="1"/>
    <col min="14" max="14" width="9.140625" style="3" hidden="1" customWidth="1"/>
    <col min="15" max="15" width="18.57421875" style="3" hidden="1" customWidth="1"/>
    <col min="16" max="16" width="12.421875" style="3" hidden="1" customWidth="1"/>
    <col min="17" max="17" width="10.421875" style="3" hidden="1" customWidth="1"/>
    <col min="18" max="19" width="9.140625" style="3" hidden="1" customWidth="1"/>
    <col min="20" max="20" width="10.421875" style="3" hidden="1" customWidth="1"/>
    <col min="21" max="21" width="9.140625" style="3" customWidth="1"/>
    <col min="22" max="16384" width="9.140625" style="3" customWidth="1"/>
  </cols>
  <sheetData>
    <row r="1" spans="1:12" s="31" customFormat="1" ht="22.5" customHeight="1">
      <c r="A1" s="92" t="s">
        <v>29</v>
      </c>
      <c r="B1" s="92"/>
      <c r="C1" s="92"/>
      <c r="I1" s="32"/>
      <c r="J1" s="32"/>
      <c r="K1" s="43"/>
      <c r="L1" s="43"/>
    </row>
    <row r="2" spans="2:3" ht="21" customHeight="1">
      <c r="B2" s="2"/>
      <c r="C2" s="5" t="s">
        <v>4</v>
      </c>
    </row>
    <row r="3" spans="1:2" ht="14.25" customHeight="1" thickBot="1">
      <c r="A3" s="6"/>
      <c r="B3" s="2"/>
    </row>
    <row r="4" spans="1:20" ht="29.25" customHeight="1">
      <c r="A4" s="7" t="s">
        <v>20</v>
      </c>
      <c r="B4" s="86"/>
      <c r="C4" s="33" t="s">
        <v>12</v>
      </c>
      <c r="F4" s="8" t="s">
        <v>1</v>
      </c>
      <c r="G4" s="9"/>
      <c r="H4" s="10"/>
      <c r="I4" s="52">
        <f>+B7</f>
        <v>0</v>
      </c>
      <c r="J4" s="79"/>
      <c r="O4" s="73" t="s">
        <v>30</v>
      </c>
      <c r="P4" s="75">
        <f>B5</f>
        <v>0</v>
      </c>
      <c r="Q4" s="25">
        <f>DATE(T4,S4,R4)</f>
        <v>366</v>
      </c>
      <c r="R4" s="3">
        <f>DAY(P4)</f>
        <v>0</v>
      </c>
      <c r="S4" s="3">
        <f>MONTH(P4)</f>
        <v>1</v>
      </c>
      <c r="T4" s="3">
        <f>YEAR(P4)+1</f>
        <v>1901</v>
      </c>
    </row>
    <row r="5" spans="1:20" ht="29.25" customHeight="1">
      <c r="A5" s="7" t="s">
        <v>30</v>
      </c>
      <c r="B5" s="87"/>
      <c r="C5" s="33" t="s">
        <v>38</v>
      </c>
      <c r="F5" s="12" t="s">
        <v>2</v>
      </c>
      <c r="G5" s="13"/>
      <c r="H5" s="14"/>
      <c r="I5" s="53">
        <f>B8</f>
        <v>0</v>
      </c>
      <c r="J5" s="79"/>
      <c r="O5" s="73" t="s">
        <v>31</v>
      </c>
      <c r="P5" s="75">
        <f>B6</f>
        <v>0</v>
      </c>
      <c r="Q5" s="25">
        <f aca="true" t="shared" si="0" ref="Q5:Q68">DATE(T5,S5,R5)</f>
        <v>731</v>
      </c>
      <c r="R5" s="3">
        <f>DAY(Q4)</f>
        <v>31</v>
      </c>
      <c r="S5" s="3">
        <f>MONTH(Q4)</f>
        <v>12</v>
      </c>
      <c r="T5" s="3">
        <f>YEAR(Q4)+1</f>
        <v>1901</v>
      </c>
    </row>
    <row r="6" spans="1:20" ht="28.5" customHeight="1">
      <c r="A6" s="7" t="s">
        <v>31</v>
      </c>
      <c r="B6" s="87"/>
      <c r="C6" s="33" t="s">
        <v>38</v>
      </c>
      <c r="F6" s="12" t="s">
        <v>10</v>
      </c>
      <c r="G6" s="13"/>
      <c r="H6" s="14"/>
      <c r="I6" s="47">
        <f>IF(OR(B4=1,B4=2),20000,IF(B4=3,10000,0))</f>
        <v>0</v>
      </c>
      <c r="J6" s="80"/>
      <c r="O6" s="73" t="s">
        <v>41</v>
      </c>
      <c r="P6" s="76">
        <f>IF(AND(DATEDIF($P$4,$P$5,"d")&lt;=365,DATEDIF($P$4,$P$5,"d")&gt;0),1,DATEDIF($P$4,$P$5,"Y"))</f>
        <v>0</v>
      </c>
      <c r="Q6" s="25">
        <f t="shared" si="0"/>
        <v>1096</v>
      </c>
      <c r="R6" s="3">
        <f aca="true" t="shared" si="1" ref="R6:R69">DAY(Q5)</f>
        <v>31</v>
      </c>
      <c r="S6" s="3">
        <f aca="true" t="shared" si="2" ref="S6:S69">MONTH(Q5)</f>
        <v>12</v>
      </c>
      <c r="T6" s="3">
        <f aca="true" t="shared" si="3" ref="T6:T69">YEAR(Q5)+1</f>
        <v>1902</v>
      </c>
    </row>
    <row r="7" spans="1:20" ht="25.5">
      <c r="A7" s="11" t="s">
        <v>1</v>
      </c>
      <c r="B7" s="84"/>
      <c r="C7" s="11" t="s">
        <v>9</v>
      </c>
      <c r="F7" s="1" t="s">
        <v>16</v>
      </c>
      <c r="G7" s="35">
        <v>0.01</v>
      </c>
      <c r="H7" s="36" t="s">
        <v>17</v>
      </c>
      <c r="I7" s="48">
        <f>IF(B7&gt;0,IF(L7&lt;35000,35000,IF(L7&gt;350000,350000,L7)),0)</f>
        <v>0</v>
      </c>
      <c r="J7" s="80"/>
      <c r="L7" s="44">
        <f>IF(B8&gt;0,G7/100*I4*1000000,"")</f>
      </c>
      <c r="O7" s="73" t="s">
        <v>40</v>
      </c>
      <c r="P7" s="76">
        <f>DATEDIF($P$4,$P$5,"YM")</f>
        <v>0</v>
      </c>
      <c r="Q7" s="25">
        <f t="shared" si="0"/>
        <v>1461</v>
      </c>
      <c r="R7" s="3">
        <f t="shared" si="1"/>
        <v>31</v>
      </c>
      <c r="S7" s="3">
        <f t="shared" si="2"/>
        <v>12</v>
      </c>
      <c r="T7" s="3">
        <f t="shared" si="3"/>
        <v>1903</v>
      </c>
    </row>
    <row r="8" spans="1:20" ht="27.75" customHeight="1">
      <c r="A8" s="11" t="s">
        <v>52</v>
      </c>
      <c r="B8" s="85">
        <f>ROUND(YEARFRAC(B5,B6,3),2)</f>
        <v>0</v>
      </c>
      <c r="C8" s="11"/>
      <c r="F8" s="40"/>
      <c r="G8" s="41">
        <v>0.005</v>
      </c>
      <c r="H8" s="42" t="s">
        <v>18</v>
      </c>
      <c r="I8" s="54"/>
      <c r="J8" s="81"/>
      <c r="O8" s="73" t="s">
        <v>39</v>
      </c>
      <c r="P8" s="76">
        <f>DATEDIF($P$4,$P$5,"MD")</f>
        <v>0</v>
      </c>
      <c r="Q8" s="25">
        <f t="shared" si="0"/>
        <v>1827</v>
      </c>
      <c r="R8" s="3">
        <f t="shared" si="1"/>
        <v>31</v>
      </c>
      <c r="S8" s="3">
        <f t="shared" si="2"/>
        <v>12</v>
      </c>
      <c r="T8" s="3">
        <f t="shared" si="3"/>
        <v>1904</v>
      </c>
    </row>
    <row r="9" spans="1:20" ht="25.5">
      <c r="A9" s="11" t="s">
        <v>11</v>
      </c>
      <c r="B9" s="15">
        <f>+I17</f>
        <v>0</v>
      </c>
      <c r="C9" s="11" t="s">
        <v>0</v>
      </c>
      <c r="F9" s="1" t="s">
        <v>14</v>
      </c>
      <c r="G9" s="35">
        <v>10000</v>
      </c>
      <c r="H9" s="22" t="s">
        <v>19</v>
      </c>
      <c r="I9" s="48">
        <f>+SUM(I10:I13)</f>
        <v>0</v>
      </c>
      <c r="J9" s="80"/>
      <c r="L9" s="16">
        <f>IF(OR(P6&lt;5,P6=5),L10*P6,(L10*5+L12*(IF(P6&gt;7,7,P6)-5)))</f>
        <v>0</v>
      </c>
      <c r="O9" s="74" t="s">
        <v>42</v>
      </c>
      <c r="P9" s="75">
        <f>INDEX(Q4:Q104,P6)</f>
        <v>2192</v>
      </c>
      <c r="Q9" s="25">
        <f t="shared" si="0"/>
        <v>2192</v>
      </c>
      <c r="R9" s="3">
        <f t="shared" si="1"/>
        <v>31</v>
      </c>
      <c r="S9" s="3">
        <f t="shared" si="2"/>
        <v>12</v>
      </c>
      <c r="T9" s="3">
        <f t="shared" si="3"/>
        <v>1905</v>
      </c>
    </row>
    <row r="10" spans="1:20" ht="12.75">
      <c r="A10" s="17" t="s">
        <v>5</v>
      </c>
      <c r="B10" s="18">
        <f>+$I$18</f>
        <v>0</v>
      </c>
      <c r="C10" s="19"/>
      <c r="F10" s="37"/>
      <c r="G10" s="38">
        <v>0.001</v>
      </c>
      <c r="H10" s="39" t="s">
        <v>22</v>
      </c>
      <c r="I10" s="88">
        <f>SUM(J10:J11)</f>
        <v>0</v>
      </c>
      <c r="J10" s="82">
        <f>IF(OR(P6&lt;5,P6=5),L10*P6,(L10*5))</f>
        <v>0</v>
      </c>
      <c r="K10" s="16">
        <f>+G9+(G10/100*I4*1000000)</f>
        <v>10000</v>
      </c>
      <c r="L10" s="45">
        <f>IF(OR(K10&lt;100000,K10=100000),K10,100000)</f>
        <v>10000</v>
      </c>
      <c r="O10" s="73" t="s">
        <v>39</v>
      </c>
      <c r="P10" s="76">
        <f>P5-P9</f>
        <v>-2192</v>
      </c>
      <c r="Q10" s="25">
        <f t="shared" si="0"/>
        <v>2557</v>
      </c>
      <c r="R10" s="3">
        <f t="shared" si="1"/>
        <v>31</v>
      </c>
      <c r="S10" s="3">
        <f t="shared" si="2"/>
        <v>12</v>
      </c>
      <c r="T10" s="3">
        <f t="shared" si="3"/>
        <v>1906</v>
      </c>
    </row>
    <row r="11" spans="1:20" ht="12.75">
      <c r="A11" s="20" t="s">
        <v>6</v>
      </c>
      <c r="B11" s="21">
        <f>+$I$19</f>
        <v>0</v>
      </c>
      <c r="C11" s="19"/>
      <c r="F11" s="37"/>
      <c r="G11" s="38"/>
      <c r="H11" s="39"/>
      <c r="I11" s="55"/>
      <c r="J11" s="82">
        <f>IF(AND((K11&lt;&gt;""),(K11&gt;100000)),100000,K11)</f>
        <v>0</v>
      </c>
      <c r="K11" s="16">
        <f>IF($L$11&lt;&gt;"",$K$10*$P$15,"")</f>
        <v>0</v>
      </c>
      <c r="L11" s="16">
        <f>IF(P6&lt;=4,(K10),"")</f>
        <v>10000</v>
      </c>
      <c r="O11" s="72"/>
      <c r="Q11" s="25">
        <f t="shared" si="0"/>
        <v>2922</v>
      </c>
      <c r="R11" s="3">
        <f t="shared" si="1"/>
        <v>31</v>
      </c>
      <c r="S11" s="3">
        <f t="shared" si="2"/>
        <v>12</v>
      </c>
      <c r="T11" s="3">
        <f t="shared" si="3"/>
        <v>1907</v>
      </c>
    </row>
    <row r="12" spans="3:20" ht="12.75">
      <c r="C12" s="25"/>
      <c r="F12" s="37"/>
      <c r="G12" s="38">
        <v>0.0005</v>
      </c>
      <c r="H12" s="39" t="s">
        <v>23</v>
      </c>
      <c r="I12" s="88">
        <f>SUM(J12:J13)</f>
        <v>0</v>
      </c>
      <c r="J12" s="82">
        <f>IF(OR(P6&lt;5,P6=5),0,L12*(IF(P6&gt;7,7,P6)-5))</f>
        <v>0</v>
      </c>
      <c r="K12" s="16">
        <f>+G9+(G12/100*I4*1000000)</f>
        <v>10000</v>
      </c>
      <c r="L12" s="45">
        <f>IF(OR(K12&lt;100000,K12=100000),K12,100000)</f>
        <v>10000</v>
      </c>
      <c r="O12" s="73" t="s">
        <v>43</v>
      </c>
      <c r="P12" s="76">
        <f>IF(AND(P10&gt;0,P10&lt;=90),0.25,"")</f>
      </c>
      <c r="Q12" s="25">
        <f t="shared" si="0"/>
        <v>3288</v>
      </c>
      <c r="R12" s="3">
        <f t="shared" si="1"/>
        <v>31</v>
      </c>
      <c r="S12" s="3">
        <f t="shared" si="2"/>
        <v>12</v>
      </c>
      <c r="T12" s="3">
        <f t="shared" si="3"/>
        <v>1908</v>
      </c>
    </row>
    <row r="13" spans="6:20" ht="12.75">
      <c r="F13" s="37"/>
      <c r="G13" s="38"/>
      <c r="H13" s="39"/>
      <c r="I13" s="55"/>
      <c r="J13" s="82">
        <f>IF(AND((K13&lt;&gt;""),(K13&gt;100000)),100000,K13)</f>
      </c>
      <c r="K13" s="16">
        <f>IF($L$13&lt;&gt;"",$K$12*$P$15,"")</f>
      </c>
      <c r="L13" s="16">
        <f>IF(AND(P6&gt;4,P6&lt;=6),K12,"")</f>
      </c>
      <c r="O13" s="73" t="s">
        <v>44</v>
      </c>
      <c r="P13" s="76">
        <f>IF(AND(P10&gt;90,P10&lt;=180),0.5,"")</f>
      </c>
      <c r="Q13" s="25">
        <f t="shared" si="0"/>
        <v>3653</v>
      </c>
      <c r="R13" s="3">
        <f t="shared" si="1"/>
        <v>31</v>
      </c>
      <c r="S13" s="3">
        <f t="shared" si="2"/>
        <v>12</v>
      </c>
      <c r="T13" s="3">
        <f t="shared" si="3"/>
        <v>1909</v>
      </c>
    </row>
    <row r="14" spans="1:20" ht="12.75">
      <c r="A14" s="64" t="s">
        <v>13</v>
      </c>
      <c r="B14" s="26"/>
      <c r="C14" s="26"/>
      <c r="D14" s="26"/>
      <c r="F14" s="40"/>
      <c r="G14" s="41"/>
      <c r="H14" s="41"/>
      <c r="I14" s="57"/>
      <c r="J14" s="82"/>
      <c r="L14" s="16">
        <f>+I6+I7+I9</f>
        <v>0</v>
      </c>
      <c r="O14" s="73" t="s">
        <v>45</v>
      </c>
      <c r="P14" s="76">
        <f>IF($P$10&gt;180,1,"")</f>
      </c>
      <c r="Q14" s="25">
        <f t="shared" si="0"/>
        <v>4018</v>
      </c>
      <c r="R14" s="3">
        <f t="shared" si="1"/>
        <v>31</v>
      </c>
      <c r="S14" s="3">
        <f t="shared" si="2"/>
        <v>12</v>
      </c>
      <c r="T14" s="3">
        <f t="shared" si="3"/>
        <v>1910</v>
      </c>
    </row>
    <row r="15" spans="1:20" ht="12.75">
      <c r="A15" s="65"/>
      <c r="B15" s="65"/>
      <c r="C15" s="65"/>
      <c r="D15" s="65"/>
      <c r="F15" s="12" t="s">
        <v>25</v>
      </c>
      <c r="G15" s="62"/>
      <c r="H15" s="63"/>
      <c r="I15" s="47">
        <f>+I9+I7+I6</f>
        <v>0</v>
      </c>
      <c r="J15" s="80"/>
      <c r="O15" s="73" t="s">
        <v>46</v>
      </c>
      <c r="P15" s="78">
        <f>(IF($P$12&lt;&gt;"",0.25,(IF($P$13&lt;&gt;"",0.5,(IF($P$14&lt;&gt;"",1,0))))))</f>
        <v>0</v>
      </c>
      <c r="Q15" s="25">
        <f t="shared" si="0"/>
        <v>4383</v>
      </c>
      <c r="R15" s="3">
        <f t="shared" si="1"/>
        <v>31</v>
      </c>
      <c r="S15" s="3">
        <f t="shared" si="2"/>
        <v>12</v>
      </c>
      <c r="T15" s="3">
        <f t="shared" si="3"/>
        <v>1911</v>
      </c>
    </row>
    <row r="16" spans="1:20" ht="13.5" thickBot="1">
      <c r="A16" s="65"/>
      <c r="B16" s="65"/>
      <c r="C16" s="65"/>
      <c r="D16" s="65"/>
      <c r="F16" s="58" t="s">
        <v>27</v>
      </c>
      <c r="G16" s="59" t="s">
        <v>28</v>
      </c>
      <c r="H16" s="60"/>
      <c r="I16" s="61">
        <f>+(I9+I7+I6)-I17</f>
        <v>0</v>
      </c>
      <c r="J16" s="83"/>
      <c r="Q16" s="25">
        <f t="shared" si="0"/>
        <v>4749</v>
      </c>
      <c r="R16" s="3">
        <f t="shared" si="1"/>
        <v>31</v>
      </c>
      <c r="S16" s="3">
        <f t="shared" si="2"/>
        <v>12</v>
      </c>
      <c r="T16" s="3">
        <f t="shared" si="3"/>
        <v>1912</v>
      </c>
    </row>
    <row r="17" spans="1:20" ht="13.5" thickBot="1">
      <c r="A17" s="65"/>
      <c r="B17" s="65"/>
      <c r="C17" s="65"/>
      <c r="D17" s="65"/>
      <c r="H17" s="28" t="s">
        <v>3</v>
      </c>
      <c r="I17" s="49">
        <f>+IF((I6+I7+I9)&lt;(I4*1000000*0.02%),(I6+I7+I9),(I4*1000000*0.02%))</f>
        <v>0</v>
      </c>
      <c r="J17" s="80"/>
      <c r="Q17" s="25">
        <f t="shared" si="0"/>
        <v>5114</v>
      </c>
      <c r="R17" s="3">
        <f t="shared" si="1"/>
        <v>31</v>
      </c>
      <c r="S17" s="3">
        <f t="shared" si="2"/>
        <v>12</v>
      </c>
      <c r="T17" s="3">
        <f t="shared" si="3"/>
        <v>1913</v>
      </c>
    </row>
    <row r="18" spans="1:20" ht="13.5" thickBot="1">
      <c r="A18" s="65"/>
      <c r="B18" s="65"/>
      <c r="C18" s="65"/>
      <c r="D18" s="65"/>
      <c r="H18" s="28" t="s">
        <v>26</v>
      </c>
      <c r="I18" s="50">
        <f>+I17*0.07</f>
        <v>0</v>
      </c>
      <c r="J18" s="80"/>
      <c r="Q18" s="25">
        <f t="shared" si="0"/>
        <v>5479</v>
      </c>
      <c r="R18" s="3">
        <f t="shared" si="1"/>
        <v>31</v>
      </c>
      <c r="S18" s="3">
        <f t="shared" si="2"/>
        <v>12</v>
      </c>
      <c r="T18" s="3">
        <f t="shared" si="3"/>
        <v>1914</v>
      </c>
    </row>
    <row r="19" spans="1:20" ht="13.5" thickBot="1">
      <c r="A19" s="65"/>
      <c r="B19" s="65"/>
      <c r="C19" s="65"/>
      <c r="D19" s="65"/>
      <c r="H19" s="27" t="s">
        <v>8</v>
      </c>
      <c r="I19" s="51">
        <f>SUM(I17:I18)</f>
        <v>0</v>
      </c>
      <c r="J19" s="80"/>
      <c r="L19" s="77"/>
      <c r="Q19" s="25">
        <f t="shared" si="0"/>
        <v>5844</v>
      </c>
      <c r="R19" s="3">
        <f t="shared" si="1"/>
        <v>31</v>
      </c>
      <c r="S19" s="3">
        <f t="shared" si="2"/>
        <v>12</v>
      </c>
      <c r="T19" s="3">
        <f t="shared" si="3"/>
        <v>1915</v>
      </c>
    </row>
    <row r="20" spans="1:20" ht="12.75">
      <c r="A20" s="65"/>
      <c r="B20" s="65"/>
      <c r="C20" s="65"/>
      <c r="D20" s="65"/>
      <c r="Q20" s="25">
        <f t="shared" si="0"/>
        <v>6210</v>
      </c>
      <c r="R20" s="3">
        <f t="shared" si="1"/>
        <v>31</v>
      </c>
      <c r="S20" s="3">
        <f t="shared" si="2"/>
        <v>12</v>
      </c>
      <c r="T20" s="3">
        <f t="shared" si="3"/>
        <v>1916</v>
      </c>
    </row>
    <row r="21" spans="1:20" ht="12.75">
      <c r="A21" s="65"/>
      <c r="B21" s="65"/>
      <c r="C21" s="65"/>
      <c r="D21" s="65"/>
      <c r="Q21" s="25">
        <f t="shared" si="0"/>
        <v>6575</v>
      </c>
      <c r="R21" s="3">
        <f t="shared" si="1"/>
        <v>31</v>
      </c>
      <c r="S21" s="3">
        <f t="shared" si="2"/>
        <v>12</v>
      </c>
      <c r="T21" s="3">
        <f t="shared" si="3"/>
        <v>1917</v>
      </c>
    </row>
    <row r="22" spans="1:20" ht="12.75">
      <c r="A22" s="65"/>
      <c r="B22" s="65"/>
      <c r="C22" s="65"/>
      <c r="D22" s="65"/>
      <c r="Q22" s="25">
        <f t="shared" si="0"/>
        <v>6940</v>
      </c>
      <c r="R22" s="3">
        <f t="shared" si="1"/>
        <v>31</v>
      </c>
      <c r="S22" s="3">
        <f t="shared" si="2"/>
        <v>12</v>
      </c>
      <c r="T22" s="3">
        <f t="shared" si="3"/>
        <v>1918</v>
      </c>
    </row>
    <row r="23" spans="1:20" ht="12.75">
      <c r="A23" s="65"/>
      <c r="B23" s="65"/>
      <c r="C23" s="65"/>
      <c r="D23" s="65"/>
      <c r="Q23" s="25">
        <f t="shared" si="0"/>
        <v>7305</v>
      </c>
      <c r="R23" s="3">
        <f t="shared" si="1"/>
        <v>31</v>
      </c>
      <c r="S23" s="3">
        <f t="shared" si="2"/>
        <v>12</v>
      </c>
      <c r="T23" s="3">
        <f t="shared" si="3"/>
        <v>1919</v>
      </c>
    </row>
    <row r="24" spans="1:20" ht="12.75">
      <c r="A24" s="65"/>
      <c r="B24" s="65"/>
      <c r="C24" s="65"/>
      <c r="D24" s="65"/>
      <c r="Q24" s="25">
        <f t="shared" si="0"/>
        <v>7671</v>
      </c>
      <c r="R24" s="3">
        <f t="shared" si="1"/>
        <v>31</v>
      </c>
      <c r="S24" s="3">
        <f t="shared" si="2"/>
        <v>12</v>
      </c>
      <c r="T24" s="3">
        <f t="shared" si="3"/>
        <v>1920</v>
      </c>
    </row>
    <row r="25" spans="1:20" ht="12.75">
      <c r="A25" s="65"/>
      <c r="B25" s="65"/>
      <c r="C25" s="65"/>
      <c r="D25" s="65"/>
      <c r="Q25" s="25">
        <f t="shared" si="0"/>
        <v>8036</v>
      </c>
      <c r="R25" s="3">
        <f t="shared" si="1"/>
        <v>31</v>
      </c>
      <c r="S25" s="3">
        <f t="shared" si="2"/>
        <v>12</v>
      </c>
      <c r="T25" s="3">
        <f t="shared" si="3"/>
        <v>1921</v>
      </c>
    </row>
    <row r="26" spans="1:20" ht="12.75">
      <c r="A26" s="65"/>
      <c r="B26" s="65"/>
      <c r="C26" s="65"/>
      <c r="D26" s="65"/>
      <c r="Q26" s="25">
        <f t="shared" si="0"/>
        <v>8401</v>
      </c>
      <c r="R26" s="3">
        <f t="shared" si="1"/>
        <v>31</v>
      </c>
      <c r="S26" s="3">
        <f t="shared" si="2"/>
        <v>12</v>
      </c>
      <c r="T26" s="3">
        <f t="shared" si="3"/>
        <v>1922</v>
      </c>
    </row>
    <row r="27" spans="1:20" ht="12.75">
      <c r="A27" s="65"/>
      <c r="B27" s="65"/>
      <c r="C27" s="65"/>
      <c r="D27" s="65"/>
      <c r="Q27" s="25">
        <f t="shared" si="0"/>
        <v>8766</v>
      </c>
      <c r="R27" s="3">
        <f t="shared" si="1"/>
        <v>31</v>
      </c>
      <c r="S27" s="3">
        <f t="shared" si="2"/>
        <v>12</v>
      </c>
      <c r="T27" s="3">
        <f t="shared" si="3"/>
        <v>1923</v>
      </c>
    </row>
    <row r="28" spans="17:20" ht="12.75">
      <c r="Q28" s="25">
        <f t="shared" si="0"/>
        <v>9132</v>
      </c>
      <c r="R28" s="3">
        <f t="shared" si="1"/>
        <v>31</v>
      </c>
      <c r="S28" s="3">
        <f t="shared" si="2"/>
        <v>12</v>
      </c>
      <c r="T28" s="3">
        <f t="shared" si="3"/>
        <v>1924</v>
      </c>
    </row>
    <row r="29" spans="17:20" ht="12.75">
      <c r="Q29" s="25">
        <f t="shared" si="0"/>
        <v>9497</v>
      </c>
      <c r="R29" s="3">
        <f t="shared" si="1"/>
        <v>31</v>
      </c>
      <c r="S29" s="3">
        <f t="shared" si="2"/>
        <v>12</v>
      </c>
      <c r="T29" s="3">
        <f t="shared" si="3"/>
        <v>1925</v>
      </c>
    </row>
    <row r="30" spans="1:20" ht="12.75">
      <c r="A30" s="91" t="s">
        <v>54</v>
      </c>
      <c r="Q30" s="25">
        <f t="shared" si="0"/>
        <v>9862</v>
      </c>
      <c r="R30" s="3">
        <f t="shared" si="1"/>
        <v>31</v>
      </c>
      <c r="S30" s="3">
        <f t="shared" si="2"/>
        <v>12</v>
      </c>
      <c r="T30" s="3">
        <f t="shared" si="3"/>
        <v>1926</v>
      </c>
    </row>
    <row r="31" spans="1:20" ht="12.75">
      <c r="A31" s="90" t="s">
        <v>53</v>
      </c>
      <c r="Q31" s="25">
        <f t="shared" si="0"/>
        <v>10227</v>
      </c>
      <c r="R31" s="3">
        <f t="shared" si="1"/>
        <v>31</v>
      </c>
      <c r="S31" s="3">
        <f t="shared" si="2"/>
        <v>12</v>
      </c>
      <c r="T31" s="3">
        <f t="shared" si="3"/>
        <v>1927</v>
      </c>
    </row>
    <row r="32" spans="1:20" ht="12.75">
      <c r="A32" s="90" t="s">
        <v>49</v>
      </c>
      <c r="Q32" s="25">
        <f t="shared" si="0"/>
        <v>10593</v>
      </c>
      <c r="R32" s="3">
        <f t="shared" si="1"/>
        <v>31</v>
      </c>
      <c r="S32" s="3">
        <f t="shared" si="2"/>
        <v>12</v>
      </c>
      <c r="T32" s="3">
        <f t="shared" si="3"/>
        <v>1928</v>
      </c>
    </row>
    <row r="33" spans="1:20" ht="12.75">
      <c r="A33" s="90" t="s">
        <v>50</v>
      </c>
      <c r="Q33" s="25">
        <f t="shared" si="0"/>
        <v>10958</v>
      </c>
      <c r="R33" s="3">
        <f t="shared" si="1"/>
        <v>31</v>
      </c>
      <c r="S33" s="3">
        <f t="shared" si="2"/>
        <v>12</v>
      </c>
      <c r="T33" s="3">
        <f t="shared" si="3"/>
        <v>1929</v>
      </c>
    </row>
    <row r="34" spans="1:20" ht="12.75">
      <c r="A34" s="90" t="s">
        <v>51</v>
      </c>
      <c r="Q34" s="25">
        <f t="shared" si="0"/>
        <v>11323</v>
      </c>
      <c r="R34" s="3">
        <f t="shared" si="1"/>
        <v>31</v>
      </c>
      <c r="S34" s="3">
        <f t="shared" si="2"/>
        <v>12</v>
      </c>
      <c r="T34" s="3">
        <f t="shared" si="3"/>
        <v>1930</v>
      </c>
    </row>
    <row r="35" spans="17:20" ht="12.75">
      <c r="Q35" s="25">
        <f t="shared" si="0"/>
        <v>11688</v>
      </c>
      <c r="R35" s="3">
        <f t="shared" si="1"/>
        <v>31</v>
      </c>
      <c r="S35" s="3">
        <f t="shared" si="2"/>
        <v>12</v>
      </c>
      <c r="T35" s="3">
        <f t="shared" si="3"/>
        <v>1931</v>
      </c>
    </row>
    <row r="36" spans="17:20" ht="12.75">
      <c r="Q36" s="25">
        <f t="shared" si="0"/>
        <v>12054</v>
      </c>
      <c r="R36" s="3">
        <f t="shared" si="1"/>
        <v>31</v>
      </c>
      <c r="S36" s="3">
        <f t="shared" si="2"/>
        <v>12</v>
      </c>
      <c r="T36" s="3">
        <f t="shared" si="3"/>
        <v>1932</v>
      </c>
    </row>
    <row r="37" spans="17:20" ht="12.75">
      <c r="Q37" s="25">
        <f t="shared" si="0"/>
        <v>12419</v>
      </c>
      <c r="R37" s="3">
        <f t="shared" si="1"/>
        <v>31</v>
      </c>
      <c r="S37" s="3">
        <f t="shared" si="2"/>
        <v>12</v>
      </c>
      <c r="T37" s="3">
        <f t="shared" si="3"/>
        <v>1933</v>
      </c>
    </row>
    <row r="38" spans="17:20" ht="12.75">
      <c r="Q38" s="25">
        <f t="shared" si="0"/>
        <v>12784</v>
      </c>
      <c r="R38" s="3">
        <f t="shared" si="1"/>
        <v>31</v>
      </c>
      <c r="S38" s="3">
        <f t="shared" si="2"/>
        <v>12</v>
      </c>
      <c r="T38" s="3">
        <f t="shared" si="3"/>
        <v>1934</v>
      </c>
    </row>
    <row r="39" spans="17:20" ht="12.75">
      <c r="Q39" s="25">
        <f t="shared" si="0"/>
        <v>13149</v>
      </c>
      <c r="R39" s="3">
        <f t="shared" si="1"/>
        <v>31</v>
      </c>
      <c r="S39" s="3">
        <f t="shared" si="2"/>
        <v>12</v>
      </c>
      <c r="T39" s="3">
        <f t="shared" si="3"/>
        <v>1935</v>
      </c>
    </row>
    <row r="40" spans="17:20" ht="12.75">
      <c r="Q40" s="25">
        <f t="shared" si="0"/>
        <v>13515</v>
      </c>
      <c r="R40" s="3">
        <f t="shared" si="1"/>
        <v>31</v>
      </c>
      <c r="S40" s="3">
        <f t="shared" si="2"/>
        <v>12</v>
      </c>
      <c r="T40" s="3">
        <f t="shared" si="3"/>
        <v>1936</v>
      </c>
    </row>
    <row r="41" spans="17:20" ht="12.75">
      <c r="Q41" s="25">
        <f t="shared" si="0"/>
        <v>13880</v>
      </c>
      <c r="R41" s="3">
        <f t="shared" si="1"/>
        <v>31</v>
      </c>
      <c r="S41" s="3">
        <f t="shared" si="2"/>
        <v>12</v>
      </c>
      <c r="T41" s="3">
        <f t="shared" si="3"/>
        <v>1937</v>
      </c>
    </row>
    <row r="42" spans="17:20" ht="12.75">
      <c r="Q42" s="25">
        <f t="shared" si="0"/>
        <v>14245</v>
      </c>
      <c r="R42" s="3">
        <f t="shared" si="1"/>
        <v>31</v>
      </c>
      <c r="S42" s="3">
        <f t="shared" si="2"/>
        <v>12</v>
      </c>
      <c r="T42" s="3">
        <f t="shared" si="3"/>
        <v>1938</v>
      </c>
    </row>
    <row r="43" spans="17:20" ht="12.75">
      <c r="Q43" s="25">
        <f t="shared" si="0"/>
        <v>14610</v>
      </c>
      <c r="R43" s="3">
        <f t="shared" si="1"/>
        <v>31</v>
      </c>
      <c r="S43" s="3">
        <f t="shared" si="2"/>
        <v>12</v>
      </c>
      <c r="T43" s="3">
        <f t="shared" si="3"/>
        <v>1939</v>
      </c>
    </row>
    <row r="44" spans="17:20" ht="12.75">
      <c r="Q44" s="25">
        <f t="shared" si="0"/>
        <v>14976</v>
      </c>
      <c r="R44" s="3">
        <f t="shared" si="1"/>
        <v>31</v>
      </c>
      <c r="S44" s="3">
        <f t="shared" si="2"/>
        <v>12</v>
      </c>
      <c r="T44" s="3">
        <f t="shared" si="3"/>
        <v>1940</v>
      </c>
    </row>
    <row r="45" spans="17:20" ht="12.75">
      <c r="Q45" s="25">
        <f t="shared" si="0"/>
        <v>15341</v>
      </c>
      <c r="R45" s="3">
        <f t="shared" si="1"/>
        <v>31</v>
      </c>
      <c r="S45" s="3">
        <f t="shared" si="2"/>
        <v>12</v>
      </c>
      <c r="T45" s="3">
        <f t="shared" si="3"/>
        <v>1941</v>
      </c>
    </row>
    <row r="46" spans="17:20" ht="12.75">
      <c r="Q46" s="25">
        <f t="shared" si="0"/>
        <v>15706</v>
      </c>
      <c r="R46" s="3">
        <f t="shared" si="1"/>
        <v>31</v>
      </c>
      <c r="S46" s="3">
        <f t="shared" si="2"/>
        <v>12</v>
      </c>
      <c r="T46" s="3">
        <f t="shared" si="3"/>
        <v>1942</v>
      </c>
    </row>
    <row r="47" spans="17:20" ht="12.75">
      <c r="Q47" s="25">
        <f t="shared" si="0"/>
        <v>16071</v>
      </c>
      <c r="R47" s="3">
        <f t="shared" si="1"/>
        <v>31</v>
      </c>
      <c r="S47" s="3">
        <f t="shared" si="2"/>
        <v>12</v>
      </c>
      <c r="T47" s="3">
        <f t="shared" si="3"/>
        <v>1943</v>
      </c>
    </row>
    <row r="48" spans="17:20" ht="12.75">
      <c r="Q48" s="25">
        <f t="shared" si="0"/>
        <v>16437</v>
      </c>
      <c r="R48" s="3">
        <f t="shared" si="1"/>
        <v>31</v>
      </c>
      <c r="S48" s="3">
        <f t="shared" si="2"/>
        <v>12</v>
      </c>
      <c r="T48" s="3">
        <f t="shared" si="3"/>
        <v>1944</v>
      </c>
    </row>
    <row r="49" spans="17:20" ht="12.75">
      <c r="Q49" s="25">
        <f t="shared" si="0"/>
        <v>16802</v>
      </c>
      <c r="R49" s="3">
        <f t="shared" si="1"/>
        <v>31</v>
      </c>
      <c r="S49" s="3">
        <f t="shared" si="2"/>
        <v>12</v>
      </c>
      <c r="T49" s="3">
        <f t="shared" si="3"/>
        <v>1945</v>
      </c>
    </row>
    <row r="50" spans="17:20" ht="12.75">
      <c r="Q50" s="25">
        <f t="shared" si="0"/>
        <v>17167</v>
      </c>
      <c r="R50" s="3">
        <f t="shared" si="1"/>
        <v>31</v>
      </c>
      <c r="S50" s="3">
        <f t="shared" si="2"/>
        <v>12</v>
      </c>
      <c r="T50" s="3">
        <f t="shared" si="3"/>
        <v>1946</v>
      </c>
    </row>
    <row r="51" spans="17:20" ht="12.75">
      <c r="Q51" s="25">
        <f t="shared" si="0"/>
        <v>17532</v>
      </c>
      <c r="R51" s="3">
        <f t="shared" si="1"/>
        <v>31</v>
      </c>
      <c r="S51" s="3">
        <f t="shared" si="2"/>
        <v>12</v>
      </c>
      <c r="T51" s="3">
        <f t="shared" si="3"/>
        <v>1947</v>
      </c>
    </row>
    <row r="52" spans="17:20" ht="12.75">
      <c r="Q52" s="25">
        <f t="shared" si="0"/>
        <v>17898</v>
      </c>
      <c r="R52" s="3">
        <f t="shared" si="1"/>
        <v>31</v>
      </c>
      <c r="S52" s="3">
        <f t="shared" si="2"/>
        <v>12</v>
      </c>
      <c r="T52" s="3">
        <f t="shared" si="3"/>
        <v>1948</v>
      </c>
    </row>
    <row r="53" spans="17:20" ht="12.75">
      <c r="Q53" s="25">
        <f t="shared" si="0"/>
        <v>18263</v>
      </c>
      <c r="R53" s="3">
        <f t="shared" si="1"/>
        <v>31</v>
      </c>
      <c r="S53" s="3">
        <f t="shared" si="2"/>
        <v>12</v>
      </c>
      <c r="T53" s="3">
        <f t="shared" si="3"/>
        <v>1949</v>
      </c>
    </row>
    <row r="54" spans="17:20" ht="12.75">
      <c r="Q54" s="25">
        <f t="shared" si="0"/>
        <v>18628</v>
      </c>
      <c r="R54" s="3">
        <f t="shared" si="1"/>
        <v>31</v>
      </c>
      <c r="S54" s="3">
        <f t="shared" si="2"/>
        <v>12</v>
      </c>
      <c r="T54" s="3">
        <f t="shared" si="3"/>
        <v>1950</v>
      </c>
    </row>
    <row r="55" spans="17:20" ht="12.75">
      <c r="Q55" s="25">
        <f t="shared" si="0"/>
        <v>18993</v>
      </c>
      <c r="R55" s="3">
        <f t="shared" si="1"/>
        <v>31</v>
      </c>
      <c r="S55" s="3">
        <f t="shared" si="2"/>
        <v>12</v>
      </c>
      <c r="T55" s="3">
        <f t="shared" si="3"/>
        <v>1951</v>
      </c>
    </row>
    <row r="56" spans="17:20" ht="12.75">
      <c r="Q56" s="25">
        <f t="shared" si="0"/>
        <v>19359</v>
      </c>
      <c r="R56" s="3">
        <f t="shared" si="1"/>
        <v>31</v>
      </c>
      <c r="S56" s="3">
        <f t="shared" si="2"/>
        <v>12</v>
      </c>
      <c r="T56" s="3">
        <f t="shared" si="3"/>
        <v>1952</v>
      </c>
    </row>
    <row r="57" spans="17:20" ht="12.75">
      <c r="Q57" s="25">
        <f t="shared" si="0"/>
        <v>19724</v>
      </c>
      <c r="R57" s="3">
        <f t="shared" si="1"/>
        <v>31</v>
      </c>
      <c r="S57" s="3">
        <f t="shared" si="2"/>
        <v>12</v>
      </c>
      <c r="T57" s="3">
        <f t="shared" si="3"/>
        <v>1953</v>
      </c>
    </row>
    <row r="58" spans="17:20" ht="12.75">
      <c r="Q58" s="25">
        <f t="shared" si="0"/>
        <v>20089</v>
      </c>
      <c r="R58" s="3">
        <f t="shared" si="1"/>
        <v>31</v>
      </c>
      <c r="S58" s="3">
        <f t="shared" si="2"/>
        <v>12</v>
      </c>
      <c r="T58" s="3">
        <f t="shared" si="3"/>
        <v>1954</v>
      </c>
    </row>
    <row r="59" spans="17:20" ht="12.75">
      <c r="Q59" s="25">
        <f t="shared" si="0"/>
        <v>20454</v>
      </c>
      <c r="R59" s="3">
        <f t="shared" si="1"/>
        <v>31</v>
      </c>
      <c r="S59" s="3">
        <f t="shared" si="2"/>
        <v>12</v>
      </c>
      <c r="T59" s="3">
        <f t="shared" si="3"/>
        <v>1955</v>
      </c>
    </row>
    <row r="60" spans="17:20" ht="12.75">
      <c r="Q60" s="25">
        <f t="shared" si="0"/>
        <v>20820</v>
      </c>
      <c r="R60" s="3">
        <f t="shared" si="1"/>
        <v>31</v>
      </c>
      <c r="S60" s="3">
        <f t="shared" si="2"/>
        <v>12</v>
      </c>
      <c r="T60" s="3">
        <f t="shared" si="3"/>
        <v>1956</v>
      </c>
    </row>
    <row r="61" spans="17:20" ht="12.75">
      <c r="Q61" s="25">
        <f t="shared" si="0"/>
        <v>21185</v>
      </c>
      <c r="R61" s="3">
        <f t="shared" si="1"/>
        <v>31</v>
      </c>
      <c r="S61" s="3">
        <f t="shared" si="2"/>
        <v>12</v>
      </c>
      <c r="T61" s="3">
        <f t="shared" si="3"/>
        <v>1957</v>
      </c>
    </row>
    <row r="62" spans="17:20" ht="12.75">
      <c r="Q62" s="25">
        <f t="shared" si="0"/>
        <v>21550</v>
      </c>
      <c r="R62" s="3">
        <f t="shared" si="1"/>
        <v>31</v>
      </c>
      <c r="S62" s="3">
        <f t="shared" si="2"/>
        <v>12</v>
      </c>
      <c r="T62" s="3">
        <f t="shared" si="3"/>
        <v>1958</v>
      </c>
    </row>
    <row r="63" spans="17:20" ht="12.75">
      <c r="Q63" s="25">
        <f t="shared" si="0"/>
        <v>21915</v>
      </c>
      <c r="R63" s="3">
        <f t="shared" si="1"/>
        <v>31</v>
      </c>
      <c r="S63" s="3">
        <f t="shared" si="2"/>
        <v>12</v>
      </c>
      <c r="T63" s="3">
        <f t="shared" si="3"/>
        <v>1959</v>
      </c>
    </row>
    <row r="64" spans="17:20" ht="12.75">
      <c r="Q64" s="25">
        <f t="shared" si="0"/>
        <v>22281</v>
      </c>
      <c r="R64" s="3">
        <f t="shared" si="1"/>
        <v>31</v>
      </c>
      <c r="S64" s="3">
        <f t="shared" si="2"/>
        <v>12</v>
      </c>
      <c r="T64" s="3">
        <f t="shared" si="3"/>
        <v>1960</v>
      </c>
    </row>
    <row r="65" spans="17:20" ht="12.75">
      <c r="Q65" s="25">
        <f t="shared" si="0"/>
        <v>22646</v>
      </c>
      <c r="R65" s="3">
        <f t="shared" si="1"/>
        <v>31</v>
      </c>
      <c r="S65" s="3">
        <f t="shared" si="2"/>
        <v>12</v>
      </c>
      <c r="T65" s="3">
        <f t="shared" si="3"/>
        <v>1961</v>
      </c>
    </row>
    <row r="66" spans="17:20" ht="12.75">
      <c r="Q66" s="25">
        <f t="shared" si="0"/>
        <v>23011</v>
      </c>
      <c r="R66" s="3">
        <f t="shared" si="1"/>
        <v>31</v>
      </c>
      <c r="S66" s="3">
        <f t="shared" si="2"/>
        <v>12</v>
      </c>
      <c r="T66" s="3">
        <f t="shared" si="3"/>
        <v>1962</v>
      </c>
    </row>
    <row r="67" spans="17:20" ht="12.75">
      <c r="Q67" s="25">
        <f t="shared" si="0"/>
        <v>23376</v>
      </c>
      <c r="R67" s="3">
        <f t="shared" si="1"/>
        <v>31</v>
      </c>
      <c r="S67" s="3">
        <f t="shared" si="2"/>
        <v>12</v>
      </c>
      <c r="T67" s="3">
        <f t="shared" si="3"/>
        <v>1963</v>
      </c>
    </row>
    <row r="68" spans="17:20" ht="12.75">
      <c r="Q68" s="25">
        <f t="shared" si="0"/>
        <v>23742</v>
      </c>
      <c r="R68" s="3">
        <f t="shared" si="1"/>
        <v>31</v>
      </c>
      <c r="S68" s="3">
        <f t="shared" si="2"/>
        <v>12</v>
      </c>
      <c r="T68" s="3">
        <f t="shared" si="3"/>
        <v>1964</v>
      </c>
    </row>
    <row r="69" spans="17:20" ht="12.75">
      <c r="Q69" s="25">
        <f aca="true" t="shared" si="4" ref="Q69:Q103">DATE(T69,S69,R69)</f>
        <v>24107</v>
      </c>
      <c r="R69" s="3">
        <f t="shared" si="1"/>
        <v>31</v>
      </c>
      <c r="S69" s="3">
        <f t="shared" si="2"/>
        <v>12</v>
      </c>
      <c r="T69" s="3">
        <f t="shared" si="3"/>
        <v>1965</v>
      </c>
    </row>
    <row r="70" spans="17:20" ht="12.75">
      <c r="Q70" s="25">
        <f t="shared" si="4"/>
        <v>24472</v>
      </c>
      <c r="R70" s="3">
        <f aca="true" t="shared" si="5" ref="R70:R104">DAY(Q69)</f>
        <v>31</v>
      </c>
      <c r="S70" s="3">
        <f aca="true" t="shared" si="6" ref="S70:S104">MONTH(Q69)</f>
        <v>12</v>
      </c>
      <c r="T70" s="3">
        <f aca="true" t="shared" si="7" ref="T70:T104">YEAR(Q69)+1</f>
        <v>1966</v>
      </c>
    </row>
    <row r="71" spans="17:20" ht="12.75">
      <c r="Q71" s="25">
        <f t="shared" si="4"/>
        <v>24837</v>
      </c>
      <c r="R71" s="3">
        <f t="shared" si="5"/>
        <v>31</v>
      </c>
      <c r="S71" s="3">
        <f t="shared" si="6"/>
        <v>12</v>
      </c>
      <c r="T71" s="3">
        <f t="shared" si="7"/>
        <v>1967</v>
      </c>
    </row>
    <row r="72" spans="17:20" ht="12.75">
      <c r="Q72" s="25">
        <f t="shared" si="4"/>
        <v>25203</v>
      </c>
      <c r="R72" s="3">
        <f t="shared" si="5"/>
        <v>31</v>
      </c>
      <c r="S72" s="3">
        <f t="shared" si="6"/>
        <v>12</v>
      </c>
      <c r="T72" s="3">
        <f t="shared" si="7"/>
        <v>1968</v>
      </c>
    </row>
    <row r="73" spans="17:20" ht="12.75">
      <c r="Q73" s="25">
        <f t="shared" si="4"/>
        <v>25568</v>
      </c>
      <c r="R73" s="3">
        <f t="shared" si="5"/>
        <v>31</v>
      </c>
      <c r="S73" s="3">
        <f t="shared" si="6"/>
        <v>12</v>
      </c>
      <c r="T73" s="3">
        <f t="shared" si="7"/>
        <v>1969</v>
      </c>
    </row>
    <row r="74" spans="17:20" ht="12.75">
      <c r="Q74" s="25">
        <f t="shared" si="4"/>
        <v>25933</v>
      </c>
      <c r="R74" s="3">
        <f t="shared" si="5"/>
        <v>31</v>
      </c>
      <c r="S74" s="3">
        <f t="shared" si="6"/>
        <v>12</v>
      </c>
      <c r="T74" s="3">
        <f t="shared" si="7"/>
        <v>1970</v>
      </c>
    </row>
    <row r="75" spans="17:20" ht="12.75">
      <c r="Q75" s="25">
        <f t="shared" si="4"/>
        <v>26298</v>
      </c>
      <c r="R75" s="3">
        <f t="shared" si="5"/>
        <v>31</v>
      </c>
      <c r="S75" s="3">
        <f t="shared" si="6"/>
        <v>12</v>
      </c>
      <c r="T75" s="3">
        <f t="shared" si="7"/>
        <v>1971</v>
      </c>
    </row>
    <row r="76" spans="17:20" ht="12.75">
      <c r="Q76" s="25">
        <f t="shared" si="4"/>
        <v>26664</v>
      </c>
      <c r="R76" s="3">
        <f t="shared" si="5"/>
        <v>31</v>
      </c>
      <c r="S76" s="3">
        <f t="shared" si="6"/>
        <v>12</v>
      </c>
      <c r="T76" s="3">
        <f t="shared" si="7"/>
        <v>1972</v>
      </c>
    </row>
    <row r="77" spans="17:20" ht="12.75">
      <c r="Q77" s="25">
        <f t="shared" si="4"/>
        <v>27029</v>
      </c>
      <c r="R77" s="3">
        <f t="shared" si="5"/>
        <v>31</v>
      </c>
      <c r="S77" s="3">
        <f t="shared" si="6"/>
        <v>12</v>
      </c>
      <c r="T77" s="3">
        <f t="shared" si="7"/>
        <v>1973</v>
      </c>
    </row>
    <row r="78" spans="17:20" ht="12.75">
      <c r="Q78" s="25">
        <f t="shared" si="4"/>
        <v>27394</v>
      </c>
      <c r="R78" s="3">
        <f t="shared" si="5"/>
        <v>31</v>
      </c>
      <c r="S78" s="3">
        <f t="shared" si="6"/>
        <v>12</v>
      </c>
      <c r="T78" s="3">
        <f t="shared" si="7"/>
        <v>1974</v>
      </c>
    </row>
    <row r="79" spans="17:20" ht="12.75">
      <c r="Q79" s="25">
        <f t="shared" si="4"/>
        <v>27759</v>
      </c>
      <c r="R79" s="3">
        <f t="shared" si="5"/>
        <v>31</v>
      </c>
      <c r="S79" s="3">
        <f t="shared" si="6"/>
        <v>12</v>
      </c>
      <c r="T79" s="3">
        <f t="shared" si="7"/>
        <v>1975</v>
      </c>
    </row>
    <row r="80" spans="17:20" ht="12.75">
      <c r="Q80" s="25">
        <f t="shared" si="4"/>
        <v>28125</v>
      </c>
      <c r="R80" s="3">
        <f t="shared" si="5"/>
        <v>31</v>
      </c>
      <c r="S80" s="3">
        <f t="shared" si="6"/>
        <v>12</v>
      </c>
      <c r="T80" s="3">
        <f t="shared" si="7"/>
        <v>1976</v>
      </c>
    </row>
    <row r="81" spans="17:20" ht="12.75">
      <c r="Q81" s="25">
        <f t="shared" si="4"/>
        <v>28490</v>
      </c>
      <c r="R81" s="3">
        <f t="shared" si="5"/>
        <v>31</v>
      </c>
      <c r="S81" s="3">
        <f t="shared" si="6"/>
        <v>12</v>
      </c>
      <c r="T81" s="3">
        <f t="shared" si="7"/>
        <v>1977</v>
      </c>
    </row>
    <row r="82" spans="17:20" ht="12.75">
      <c r="Q82" s="25">
        <f t="shared" si="4"/>
        <v>28855</v>
      </c>
      <c r="R82" s="3">
        <f t="shared" si="5"/>
        <v>31</v>
      </c>
      <c r="S82" s="3">
        <f t="shared" si="6"/>
        <v>12</v>
      </c>
      <c r="T82" s="3">
        <f t="shared" si="7"/>
        <v>1978</v>
      </c>
    </row>
    <row r="83" spans="17:20" ht="12.75">
      <c r="Q83" s="25">
        <f t="shared" si="4"/>
        <v>29220</v>
      </c>
      <c r="R83" s="3">
        <f t="shared" si="5"/>
        <v>31</v>
      </c>
      <c r="S83" s="3">
        <f t="shared" si="6"/>
        <v>12</v>
      </c>
      <c r="T83" s="3">
        <f t="shared" si="7"/>
        <v>1979</v>
      </c>
    </row>
    <row r="84" spans="17:20" ht="12.75">
      <c r="Q84" s="25">
        <f t="shared" si="4"/>
        <v>29586</v>
      </c>
      <c r="R84" s="3">
        <f t="shared" si="5"/>
        <v>31</v>
      </c>
      <c r="S84" s="3">
        <f t="shared" si="6"/>
        <v>12</v>
      </c>
      <c r="T84" s="3">
        <f t="shared" si="7"/>
        <v>1980</v>
      </c>
    </row>
    <row r="85" spans="17:20" ht="12.75">
      <c r="Q85" s="25">
        <f t="shared" si="4"/>
        <v>29951</v>
      </c>
      <c r="R85" s="3">
        <f t="shared" si="5"/>
        <v>31</v>
      </c>
      <c r="S85" s="3">
        <f t="shared" si="6"/>
        <v>12</v>
      </c>
      <c r="T85" s="3">
        <f t="shared" si="7"/>
        <v>1981</v>
      </c>
    </row>
    <row r="86" spans="17:20" ht="12.75">
      <c r="Q86" s="25">
        <f t="shared" si="4"/>
        <v>30316</v>
      </c>
      <c r="R86" s="3">
        <f t="shared" si="5"/>
        <v>31</v>
      </c>
      <c r="S86" s="3">
        <f t="shared" si="6"/>
        <v>12</v>
      </c>
      <c r="T86" s="3">
        <f t="shared" si="7"/>
        <v>1982</v>
      </c>
    </row>
    <row r="87" spans="17:20" ht="12.75">
      <c r="Q87" s="25">
        <f t="shared" si="4"/>
        <v>30681</v>
      </c>
      <c r="R87" s="3">
        <f t="shared" si="5"/>
        <v>31</v>
      </c>
      <c r="S87" s="3">
        <f t="shared" si="6"/>
        <v>12</v>
      </c>
      <c r="T87" s="3">
        <f t="shared" si="7"/>
        <v>1983</v>
      </c>
    </row>
    <row r="88" spans="17:20" ht="12.75">
      <c r="Q88" s="25">
        <f t="shared" si="4"/>
        <v>31047</v>
      </c>
      <c r="R88" s="3">
        <f t="shared" si="5"/>
        <v>31</v>
      </c>
      <c r="S88" s="3">
        <f t="shared" si="6"/>
        <v>12</v>
      </c>
      <c r="T88" s="3">
        <f t="shared" si="7"/>
        <v>1984</v>
      </c>
    </row>
    <row r="89" spans="17:20" ht="12.75">
      <c r="Q89" s="25">
        <f t="shared" si="4"/>
        <v>31412</v>
      </c>
      <c r="R89" s="3">
        <f t="shared" si="5"/>
        <v>31</v>
      </c>
      <c r="S89" s="3">
        <f t="shared" si="6"/>
        <v>12</v>
      </c>
      <c r="T89" s="3">
        <f t="shared" si="7"/>
        <v>1985</v>
      </c>
    </row>
    <row r="90" spans="17:20" ht="12.75">
      <c r="Q90" s="25">
        <f t="shared" si="4"/>
        <v>31777</v>
      </c>
      <c r="R90" s="3">
        <f t="shared" si="5"/>
        <v>31</v>
      </c>
      <c r="S90" s="3">
        <f t="shared" si="6"/>
        <v>12</v>
      </c>
      <c r="T90" s="3">
        <f t="shared" si="7"/>
        <v>1986</v>
      </c>
    </row>
    <row r="91" spans="17:20" ht="12.75">
      <c r="Q91" s="25">
        <f t="shared" si="4"/>
        <v>32142</v>
      </c>
      <c r="R91" s="3">
        <f t="shared" si="5"/>
        <v>31</v>
      </c>
      <c r="S91" s="3">
        <f t="shared" si="6"/>
        <v>12</v>
      </c>
      <c r="T91" s="3">
        <f t="shared" si="7"/>
        <v>1987</v>
      </c>
    </row>
    <row r="92" spans="17:20" ht="12.75">
      <c r="Q92" s="25">
        <f t="shared" si="4"/>
        <v>32508</v>
      </c>
      <c r="R92" s="3">
        <f t="shared" si="5"/>
        <v>31</v>
      </c>
      <c r="S92" s="3">
        <f t="shared" si="6"/>
        <v>12</v>
      </c>
      <c r="T92" s="3">
        <f t="shared" si="7"/>
        <v>1988</v>
      </c>
    </row>
    <row r="93" spans="17:20" ht="12.75">
      <c r="Q93" s="25">
        <f t="shared" si="4"/>
        <v>32873</v>
      </c>
      <c r="R93" s="3">
        <f t="shared" si="5"/>
        <v>31</v>
      </c>
      <c r="S93" s="3">
        <f t="shared" si="6"/>
        <v>12</v>
      </c>
      <c r="T93" s="3">
        <f t="shared" si="7"/>
        <v>1989</v>
      </c>
    </row>
    <row r="94" spans="17:20" ht="12.75">
      <c r="Q94" s="25">
        <f t="shared" si="4"/>
        <v>33238</v>
      </c>
      <c r="R94" s="3">
        <f t="shared" si="5"/>
        <v>31</v>
      </c>
      <c r="S94" s="3">
        <f t="shared" si="6"/>
        <v>12</v>
      </c>
      <c r="T94" s="3">
        <f t="shared" si="7"/>
        <v>1990</v>
      </c>
    </row>
    <row r="95" spans="17:20" ht="12.75">
      <c r="Q95" s="25">
        <f t="shared" si="4"/>
        <v>33603</v>
      </c>
      <c r="R95" s="3">
        <f t="shared" si="5"/>
        <v>31</v>
      </c>
      <c r="S95" s="3">
        <f t="shared" si="6"/>
        <v>12</v>
      </c>
      <c r="T95" s="3">
        <f t="shared" si="7"/>
        <v>1991</v>
      </c>
    </row>
    <row r="96" spans="17:20" ht="12.75">
      <c r="Q96" s="25">
        <f t="shared" si="4"/>
        <v>33969</v>
      </c>
      <c r="R96" s="3">
        <f t="shared" si="5"/>
        <v>31</v>
      </c>
      <c r="S96" s="3">
        <f t="shared" si="6"/>
        <v>12</v>
      </c>
      <c r="T96" s="3">
        <f t="shared" si="7"/>
        <v>1992</v>
      </c>
    </row>
    <row r="97" spans="17:20" ht="12.75">
      <c r="Q97" s="25">
        <f t="shared" si="4"/>
        <v>34334</v>
      </c>
      <c r="R97" s="3">
        <f t="shared" si="5"/>
        <v>31</v>
      </c>
      <c r="S97" s="3">
        <f t="shared" si="6"/>
        <v>12</v>
      </c>
      <c r="T97" s="3">
        <f t="shared" si="7"/>
        <v>1993</v>
      </c>
    </row>
    <row r="98" spans="17:20" ht="12.75">
      <c r="Q98" s="25">
        <f t="shared" si="4"/>
        <v>34699</v>
      </c>
      <c r="R98" s="3">
        <f t="shared" si="5"/>
        <v>31</v>
      </c>
      <c r="S98" s="3">
        <f t="shared" si="6"/>
        <v>12</v>
      </c>
      <c r="T98" s="3">
        <f t="shared" si="7"/>
        <v>1994</v>
      </c>
    </row>
    <row r="99" spans="17:20" ht="12.75">
      <c r="Q99" s="25">
        <f t="shared" si="4"/>
        <v>35064</v>
      </c>
      <c r="R99" s="3">
        <f t="shared" si="5"/>
        <v>31</v>
      </c>
      <c r="S99" s="3">
        <f t="shared" si="6"/>
        <v>12</v>
      </c>
      <c r="T99" s="3">
        <f t="shared" si="7"/>
        <v>1995</v>
      </c>
    </row>
    <row r="100" spans="17:20" ht="12.75">
      <c r="Q100" s="25">
        <f t="shared" si="4"/>
        <v>35430</v>
      </c>
      <c r="R100" s="3">
        <f t="shared" si="5"/>
        <v>31</v>
      </c>
      <c r="S100" s="3">
        <f t="shared" si="6"/>
        <v>12</v>
      </c>
      <c r="T100" s="3">
        <f t="shared" si="7"/>
        <v>1996</v>
      </c>
    </row>
    <row r="101" spans="17:20" ht="12.75">
      <c r="Q101" s="25">
        <f t="shared" si="4"/>
        <v>35795</v>
      </c>
      <c r="R101" s="3">
        <f t="shared" si="5"/>
        <v>31</v>
      </c>
      <c r="S101" s="3">
        <f t="shared" si="6"/>
        <v>12</v>
      </c>
      <c r="T101" s="3">
        <f t="shared" si="7"/>
        <v>1997</v>
      </c>
    </row>
    <row r="102" spans="17:20" ht="12.75">
      <c r="Q102" s="25">
        <f t="shared" si="4"/>
        <v>36160</v>
      </c>
      <c r="R102" s="3">
        <f t="shared" si="5"/>
        <v>31</v>
      </c>
      <c r="S102" s="3">
        <f t="shared" si="6"/>
        <v>12</v>
      </c>
      <c r="T102" s="3">
        <f t="shared" si="7"/>
        <v>1998</v>
      </c>
    </row>
    <row r="103" spans="17:20" ht="12.75">
      <c r="Q103" s="25">
        <f t="shared" si="4"/>
        <v>36525</v>
      </c>
      <c r="R103" s="3">
        <f t="shared" si="5"/>
        <v>31</v>
      </c>
      <c r="S103" s="3">
        <f t="shared" si="6"/>
        <v>12</v>
      </c>
      <c r="T103" s="3">
        <f t="shared" si="7"/>
        <v>1999</v>
      </c>
    </row>
    <row r="104" spans="17:20" ht="12.75">
      <c r="Q104" s="25">
        <f>DATE(T104,S104,R104)</f>
        <v>36891</v>
      </c>
      <c r="R104" s="3">
        <f t="shared" si="5"/>
        <v>31</v>
      </c>
      <c r="S104" s="3">
        <f t="shared" si="6"/>
        <v>12</v>
      </c>
      <c r="T104" s="3">
        <f t="shared" si="7"/>
        <v>2000</v>
      </c>
    </row>
  </sheetData>
  <sheetProtection password="D961" sheet="1" selectLockedCell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showGridLines="0" zoomScale="85" zoomScaleNormal="85" zoomScalePageLayoutView="0" workbookViewId="0" topLeftCell="A1">
      <selection activeCell="B4" sqref="B4"/>
    </sheetView>
  </sheetViews>
  <sheetFormatPr defaultColWidth="9.140625" defaultRowHeight="21.75"/>
  <cols>
    <col min="1" max="1" width="44.00390625" style="3" customWidth="1"/>
    <col min="2" max="2" width="29.28125" style="3" customWidth="1"/>
    <col min="3" max="3" width="19.00390625" style="3" bestFit="1" customWidth="1"/>
    <col min="4" max="4" width="13.140625" style="3" customWidth="1"/>
    <col min="5" max="5" width="13.00390625" style="3" customWidth="1"/>
    <col min="6" max="6" width="17.00390625" style="3" customWidth="1"/>
    <col min="7" max="7" width="7.7109375" style="3" customWidth="1"/>
    <col min="8" max="8" width="35.28125" style="3" customWidth="1"/>
    <col min="9" max="9" width="22.00390625" style="4" customWidth="1"/>
    <col min="10" max="10" width="17.421875" style="4" hidden="1" customWidth="1"/>
    <col min="11" max="11" width="12.421875" style="16" hidden="1" customWidth="1"/>
    <col min="12" max="12" width="14.140625" style="16" hidden="1" customWidth="1"/>
    <col min="13" max="13" width="7.00390625" style="3" hidden="1" customWidth="1"/>
    <col min="14" max="14" width="9.140625" style="3" hidden="1" customWidth="1"/>
    <col min="15" max="15" width="18.57421875" style="3" hidden="1" customWidth="1"/>
    <col min="16" max="16" width="12.421875" style="3" hidden="1" customWidth="1"/>
    <col min="17" max="17" width="10.421875" style="3" hidden="1" customWidth="1"/>
    <col min="18" max="19" width="9.140625" style="3" hidden="1" customWidth="1"/>
    <col min="20" max="20" width="10.421875" style="3" hidden="1" customWidth="1"/>
    <col min="21" max="21" width="9.140625" style="3" hidden="1" customWidth="1"/>
    <col min="22" max="22" width="0" style="3" hidden="1" customWidth="1"/>
    <col min="23" max="16384" width="9.140625" style="3" customWidth="1"/>
  </cols>
  <sheetData>
    <row r="1" spans="1:12" s="31" customFormat="1" ht="22.5" customHeight="1">
      <c r="A1" s="92" t="s">
        <v>29</v>
      </c>
      <c r="B1" s="92"/>
      <c r="C1" s="92"/>
      <c r="I1" s="32"/>
      <c r="J1" s="32"/>
      <c r="K1" s="43"/>
      <c r="L1" s="43"/>
    </row>
    <row r="2" spans="2:3" ht="21" customHeight="1">
      <c r="B2" s="2"/>
      <c r="C2" s="5" t="s">
        <v>4</v>
      </c>
    </row>
    <row r="3" spans="1:2" ht="14.25" customHeight="1" thickBot="1">
      <c r="A3" s="6"/>
      <c r="B3" s="2"/>
    </row>
    <row r="4" spans="1:20" ht="29.25" customHeight="1">
      <c r="A4" s="7" t="s">
        <v>20</v>
      </c>
      <c r="B4" s="86"/>
      <c r="C4" s="33" t="s">
        <v>12</v>
      </c>
      <c r="F4" s="8" t="s">
        <v>1</v>
      </c>
      <c r="G4" s="9"/>
      <c r="H4" s="10"/>
      <c r="I4" s="52">
        <f>+B7</f>
        <v>0</v>
      </c>
      <c r="J4" s="79"/>
      <c r="O4" s="73" t="s">
        <v>30</v>
      </c>
      <c r="P4" s="75">
        <f>B5</f>
        <v>0</v>
      </c>
      <c r="Q4" s="25">
        <f>DATE(T4,S4,R4)</f>
        <v>366</v>
      </c>
      <c r="R4" s="3">
        <f>DAY(P4)</f>
        <v>0</v>
      </c>
      <c r="S4" s="3">
        <f>MONTH(P4)</f>
        <v>1</v>
      </c>
      <c r="T4" s="3">
        <f>YEAR(P4)+1</f>
        <v>1901</v>
      </c>
    </row>
    <row r="5" spans="1:20" ht="29.25" customHeight="1">
      <c r="A5" s="7" t="s">
        <v>30</v>
      </c>
      <c r="B5" s="87"/>
      <c r="C5" s="33" t="s">
        <v>38</v>
      </c>
      <c r="F5" s="12" t="s">
        <v>2</v>
      </c>
      <c r="G5" s="13"/>
      <c r="H5" s="14"/>
      <c r="I5" s="53">
        <f>B8</f>
        <v>0</v>
      </c>
      <c r="J5" s="79"/>
      <c r="O5" s="73" t="s">
        <v>31</v>
      </c>
      <c r="P5" s="75">
        <f>B6</f>
        <v>0</v>
      </c>
      <c r="Q5" s="25">
        <f aca="true" t="shared" si="0" ref="Q5:Q68">DATE(T5,S5,R5)</f>
        <v>731</v>
      </c>
      <c r="R5" s="3">
        <f>DAY(Q4)</f>
        <v>31</v>
      </c>
      <c r="S5" s="3">
        <f>MONTH(Q4)</f>
        <v>12</v>
      </c>
      <c r="T5" s="3">
        <f>YEAR(Q4)+1</f>
        <v>1901</v>
      </c>
    </row>
    <row r="6" spans="1:20" ht="28.5" customHeight="1">
      <c r="A6" s="7" t="s">
        <v>31</v>
      </c>
      <c r="B6" s="87"/>
      <c r="C6" s="33" t="s">
        <v>38</v>
      </c>
      <c r="F6" s="12" t="s">
        <v>10</v>
      </c>
      <c r="G6" s="13"/>
      <c r="H6" s="14"/>
      <c r="I6" s="47">
        <f>IF(OR(B4=1,B4=2),10000,IF(B4=3,5000,0))</f>
        <v>0</v>
      </c>
      <c r="J6" s="80"/>
      <c r="O6" s="73" t="s">
        <v>41</v>
      </c>
      <c r="P6" s="76">
        <f>DATEDIF($P$4,$P$5,"Y")</f>
        <v>0</v>
      </c>
      <c r="Q6" s="25">
        <f t="shared" si="0"/>
        <v>1096</v>
      </c>
      <c r="R6" s="3">
        <f aca="true" t="shared" si="1" ref="R6:R69">DAY(Q5)</f>
        <v>31</v>
      </c>
      <c r="S6" s="3">
        <f aca="true" t="shared" si="2" ref="S6:S69">MONTH(Q5)</f>
        <v>12</v>
      </c>
      <c r="T6" s="3">
        <f aca="true" t="shared" si="3" ref="T6:T69">YEAR(Q5)+1</f>
        <v>1902</v>
      </c>
    </row>
    <row r="7" spans="1:20" ht="25.5">
      <c r="A7" s="11" t="s">
        <v>1</v>
      </c>
      <c r="B7" s="84"/>
      <c r="C7" s="11" t="s">
        <v>9</v>
      </c>
      <c r="F7" s="1" t="s">
        <v>16</v>
      </c>
      <c r="G7" s="35">
        <v>0.005</v>
      </c>
      <c r="H7" s="36" t="s">
        <v>47</v>
      </c>
      <c r="I7" s="48">
        <f>IF(B7&gt;0,IF(L7&lt;17500,17500,IF(L7&gt;175000,175000,L7)),0)</f>
        <v>0</v>
      </c>
      <c r="J7" s="80"/>
      <c r="L7" s="44">
        <f>IF(B8&gt;0,G7/100*I4*1000000,"")</f>
      </c>
      <c r="O7" s="73" t="s">
        <v>40</v>
      </c>
      <c r="P7" s="76">
        <f>DATEDIF($P$4,$P$5,"YM")</f>
        <v>0</v>
      </c>
      <c r="Q7" s="25">
        <f t="shared" si="0"/>
        <v>1461</v>
      </c>
      <c r="R7" s="3">
        <f t="shared" si="1"/>
        <v>31</v>
      </c>
      <c r="S7" s="3">
        <f t="shared" si="2"/>
        <v>12</v>
      </c>
      <c r="T7" s="3">
        <f t="shared" si="3"/>
        <v>1903</v>
      </c>
    </row>
    <row r="8" spans="1:20" ht="27.75" customHeight="1">
      <c r="A8" s="11" t="s">
        <v>52</v>
      </c>
      <c r="B8" s="85">
        <f>ROUND(YEARFRAC(B5,B6,3),2)</f>
        <v>0</v>
      </c>
      <c r="C8" s="11"/>
      <c r="F8" s="40"/>
      <c r="G8" s="41">
        <v>0.005</v>
      </c>
      <c r="H8" s="42" t="s">
        <v>18</v>
      </c>
      <c r="I8" s="54"/>
      <c r="J8" s="81"/>
      <c r="O8" s="73" t="s">
        <v>39</v>
      </c>
      <c r="P8" s="76">
        <f>DATEDIF($P$4,$P$5,"MD")</f>
        <v>0</v>
      </c>
      <c r="Q8" s="25">
        <f t="shared" si="0"/>
        <v>1827</v>
      </c>
      <c r="R8" s="3">
        <f t="shared" si="1"/>
        <v>31</v>
      </c>
      <c r="S8" s="3">
        <f t="shared" si="2"/>
        <v>12</v>
      </c>
      <c r="T8" s="3">
        <f t="shared" si="3"/>
        <v>1904</v>
      </c>
    </row>
    <row r="9" spans="1:20" ht="25.5">
      <c r="A9" s="11" t="s">
        <v>11</v>
      </c>
      <c r="B9" s="15">
        <f>+I17</f>
        <v>0</v>
      </c>
      <c r="C9" s="11" t="s">
        <v>0</v>
      </c>
      <c r="F9" s="1" t="s">
        <v>14</v>
      </c>
      <c r="G9" s="35">
        <v>5000</v>
      </c>
      <c r="H9" s="22" t="s">
        <v>19</v>
      </c>
      <c r="I9" s="48">
        <f>+SUM(I10:I13)</f>
        <v>0</v>
      </c>
      <c r="J9" s="80"/>
      <c r="L9" s="16">
        <f>IF(OR(P6&lt;5,P6=5),L10*P6,(L10*5+L12*(IF(P6&gt;7,7,P6)-5)))</f>
        <v>0</v>
      </c>
      <c r="O9" s="74" t="s">
        <v>42</v>
      </c>
      <c r="P9" s="75">
        <f>INDEX(Q4:Q104,P6)</f>
        <v>2192</v>
      </c>
      <c r="Q9" s="25">
        <f t="shared" si="0"/>
        <v>2192</v>
      </c>
      <c r="R9" s="3">
        <f t="shared" si="1"/>
        <v>31</v>
      </c>
      <c r="S9" s="3">
        <f t="shared" si="2"/>
        <v>12</v>
      </c>
      <c r="T9" s="3">
        <f t="shared" si="3"/>
        <v>1905</v>
      </c>
    </row>
    <row r="10" spans="1:20" ht="12.75">
      <c r="A10" s="17" t="s">
        <v>5</v>
      </c>
      <c r="B10" s="18">
        <f>+$I$18</f>
        <v>0</v>
      </c>
      <c r="C10" s="19"/>
      <c r="F10" s="37"/>
      <c r="G10" s="38">
        <v>0.0005</v>
      </c>
      <c r="H10" s="39" t="s">
        <v>22</v>
      </c>
      <c r="I10" s="88">
        <f>SUM(J10:J11)</f>
        <v>0</v>
      </c>
      <c r="J10" s="82">
        <f>IF(OR(P6&lt;5,P6=5),L10*P6,(L10*5))</f>
        <v>0</v>
      </c>
      <c r="K10" s="16">
        <f>+G9+(G10/100*I4*1000000)</f>
        <v>5000</v>
      </c>
      <c r="L10" s="45">
        <f>IF(OR(K10&lt;50000,K10=50000),K10,50000)</f>
        <v>5000</v>
      </c>
      <c r="O10" s="73" t="s">
        <v>39</v>
      </c>
      <c r="P10" s="76">
        <f>P5-P9</f>
        <v>-2192</v>
      </c>
      <c r="Q10" s="25">
        <f t="shared" si="0"/>
        <v>2557</v>
      </c>
      <c r="R10" s="3">
        <f t="shared" si="1"/>
        <v>31</v>
      </c>
      <c r="S10" s="3">
        <f t="shared" si="2"/>
        <v>12</v>
      </c>
      <c r="T10" s="3">
        <f t="shared" si="3"/>
        <v>1906</v>
      </c>
    </row>
    <row r="11" spans="1:20" ht="12.75">
      <c r="A11" s="20" t="s">
        <v>6</v>
      </c>
      <c r="B11" s="21">
        <f>+$I$19</f>
        <v>0</v>
      </c>
      <c r="C11" s="19"/>
      <c r="F11" s="37"/>
      <c r="G11" s="38"/>
      <c r="H11" s="39"/>
      <c r="I11" s="55"/>
      <c r="J11" s="82">
        <f>IF(AND((K11&lt;&gt;""),(K11&gt;50000)),50000,K11)</f>
        <v>0</v>
      </c>
      <c r="K11" s="16">
        <f>IF($L$11&lt;&gt;"",$K$10*$P$15,"")</f>
        <v>0</v>
      </c>
      <c r="L11" s="16">
        <f>IF(P6&lt;=4,(K10),"")</f>
        <v>5000</v>
      </c>
      <c r="O11" s="72"/>
      <c r="Q11" s="25">
        <f t="shared" si="0"/>
        <v>2922</v>
      </c>
      <c r="R11" s="3">
        <f t="shared" si="1"/>
        <v>31</v>
      </c>
      <c r="S11" s="3">
        <f t="shared" si="2"/>
        <v>12</v>
      </c>
      <c r="T11" s="3">
        <f t="shared" si="3"/>
        <v>1907</v>
      </c>
    </row>
    <row r="12" spans="3:20" ht="12.75">
      <c r="C12" s="25"/>
      <c r="F12" s="37"/>
      <c r="G12" s="66">
        <v>0.00025</v>
      </c>
      <c r="H12" s="39" t="s">
        <v>23</v>
      </c>
      <c r="I12" s="88">
        <f>SUM(J12:J13)</f>
        <v>0</v>
      </c>
      <c r="J12" s="82">
        <f>IF(OR(P6&lt;5,P6=5),0,L12*(IF(P6&gt;7,7,P6)-5))</f>
        <v>0</v>
      </c>
      <c r="K12" s="16">
        <f>+G9+(G12/100*I4*1000000)</f>
        <v>5000</v>
      </c>
      <c r="L12" s="45">
        <f>IF(OR(K12&lt;50000,K12=50000),K12,50000)</f>
        <v>5000</v>
      </c>
      <c r="O12" s="73" t="s">
        <v>43</v>
      </c>
      <c r="P12" s="76">
        <f>IF(AND(P10&gt;0,P10&lt;=90),0.25,"")</f>
      </c>
      <c r="Q12" s="25">
        <f t="shared" si="0"/>
        <v>3288</v>
      </c>
      <c r="R12" s="3">
        <f t="shared" si="1"/>
        <v>31</v>
      </c>
      <c r="S12" s="3">
        <f t="shared" si="2"/>
        <v>12</v>
      </c>
      <c r="T12" s="3">
        <f t="shared" si="3"/>
        <v>1908</v>
      </c>
    </row>
    <row r="13" spans="6:20" ht="12.75">
      <c r="F13" s="37"/>
      <c r="G13" s="38"/>
      <c r="H13" s="39"/>
      <c r="I13" s="55"/>
      <c r="J13" s="82">
        <f>IF(AND((K13&lt;&gt;""),(K13&gt;50000)),50000,K13)</f>
      </c>
      <c r="K13" s="16">
        <f>IF($L$13&lt;&gt;"",$K$12*$P$15,"")</f>
      </c>
      <c r="L13" s="16">
        <f>IF(AND(P6&gt;4,P6&lt;=6),K12,"")</f>
      </c>
      <c r="O13" s="73" t="s">
        <v>44</v>
      </c>
      <c r="P13" s="76">
        <f>IF(AND(P10&gt;90,P10&lt;=180),0.5,"")</f>
      </c>
      <c r="Q13" s="25">
        <f t="shared" si="0"/>
        <v>3653</v>
      </c>
      <c r="R13" s="3">
        <f t="shared" si="1"/>
        <v>31</v>
      </c>
      <c r="S13" s="3">
        <f t="shared" si="2"/>
        <v>12</v>
      </c>
      <c r="T13" s="3">
        <f t="shared" si="3"/>
        <v>1909</v>
      </c>
    </row>
    <row r="14" spans="1:20" ht="12.75">
      <c r="A14" s="64" t="s">
        <v>13</v>
      </c>
      <c r="B14" s="26"/>
      <c r="C14" s="26"/>
      <c r="D14" s="26"/>
      <c r="F14" s="40"/>
      <c r="G14" s="41"/>
      <c r="H14" s="41"/>
      <c r="I14" s="57"/>
      <c r="J14" s="82"/>
      <c r="L14" s="16">
        <f>+I6+I7+I9</f>
        <v>0</v>
      </c>
      <c r="O14" s="73" t="s">
        <v>45</v>
      </c>
      <c r="P14" s="76">
        <f>IF($P$10&gt;180,1,"")</f>
      </c>
      <c r="Q14" s="25">
        <f t="shared" si="0"/>
        <v>4018</v>
      </c>
      <c r="R14" s="3">
        <f t="shared" si="1"/>
        <v>31</v>
      </c>
      <c r="S14" s="3">
        <f t="shared" si="2"/>
        <v>12</v>
      </c>
      <c r="T14" s="3">
        <f t="shared" si="3"/>
        <v>1910</v>
      </c>
    </row>
    <row r="15" spans="1:20" ht="12.75">
      <c r="A15" s="65"/>
      <c r="B15" s="65"/>
      <c r="C15" s="65"/>
      <c r="D15" s="65"/>
      <c r="F15" s="12" t="s">
        <v>25</v>
      </c>
      <c r="G15" s="62"/>
      <c r="H15" s="63"/>
      <c r="I15" s="47">
        <f>+I9+I7+I6</f>
        <v>0</v>
      </c>
      <c r="J15" s="80"/>
      <c r="O15" s="73" t="s">
        <v>46</v>
      </c>
      <c r="P15" s="78">
        <f>(IF($P$12&lt;&gt;"",0.25,(IF($P$13&lt;&gt;"",0.5,(IF($P$14&lt;&gt;"",1,0))))))</f>
        <v>0</v>
      </c>
      <c r="Q15" s="25">
        <f t="shared" si="0"/>
        <v>4383</v>
      </c>
      <c r="R15" s="3">
        <f t="shared" si="1"/>
        <v>31</v>
      </c>
      <c r="S15" s="3">
        <f t="shared" si="2"/>
        <v>12</v>
      </c>
      <c r="T15" s="3">
        <f t="shared" si="3"/>
        <v>1911</v>
      </c>
    </row>
    <row r="16" spans="1:20" ht="13.5" thickBot="1">
      <c r="A16" s="65"/>
      <c r="B16" s="65"/>
      <c r="C16" s="65"/>
      <c r="D16" s="65"/>
      <c r="F16" s="58" t="s">
        <v>27</v>
      </c>
      <c r="G16" s="59" t="s">
        <v>28</v>
      </c>
      <c r="H16" s="60"/>
      <c r="I16" s="61">
        <f>+(I9+I7+I6)-I17</f>
        <v>0</v>
      </c>
      <c r="J16" s="83"/>
      <c r="Q16" s="25">
        <f t="shared" si="0"/>
        <v>4749</v>
      </c>
      <c r="R16" s="3">
        <f t="shared" si="1"/>
        <v>31</v>
      </c>
      <c r="S16" s="3">
        <f t="shared" si="2"/>
        <v>12</v>
      </c>
      <c r="T16" s="3">
        <f t="shared" si="3"/>
        <v>1912</v>
      </c>
    </row>
    <row r="17" spans="1:20" ht="13.5" thickBot="1">
      <c r="A17" s="65"/>
      <c r="B17" s="65"/>
      <c r="C17" s="65"/>
      <c r="D17" s="65"/>
      <c r="H17" s="28" t="s">
        <v>3</v>
      </c>
      <c r="I17" s="49">
        <f>+IF((I6+I7+I9)&lt;(I4*1000000*0.02%),(I6+I7+I9),(I4*1000000*0.02%))</f>
        <v>0</v>
      </c>
      <c r="J17" s="80"/>
      <c r="Q17" s="25">
        <f t="shared" si="0"/>
        <v>5114</v>
      </c>
      <c r="R17" s="3">
        <f t="shared" si="1"/>
        <v>31</v>
      </c>
      <c r="S17" s="3">
        <f t="shared" si="2"/>
        <v>12</v>
      </c>
      <c r="T17" s="3">
        <f t="shared" si="3"/>
        <v>1913</v>
      </c>
    </row>
    <row r="18" spans="1:20" ht="13.5" thickBot="1">
      <c r="A18" s="65"/>
      <c r="B18" s="65"/>
      <c r="C18" s="65"/>
      <c r="D18" s="65"/>
      <c r="H18" s="28" t="s">
        <v>26</v>
      </c>
      <c r="I18" s="50">
        <f>+I17*0.07</f>
        <v>0</v>
      </c>
      <c r="J18" s="80"/>
      <c r="Q18" s="25">
        <f t="shared" si="0"/>
        <v>5479</v>
      </c>
      <c r="R18" s="3">
        <f t="shared" si="1"/>
        <v>31</v>
      </c>
      <c r="S18" s="3">
        <f t="shared" si="2"/>
        <v>12</v>
      </c>
      <c r="T18" s="3">
        <f t="shared" si="3"/>
        <v>1914</v>
      </c>
    </row>
    <row r="19" spans="1:20" ht="13.5" thickBot="1">
      <c r="A19" s="65"/>
      <c r="B19" s="65"/>
      <c r="C19" s="65"/>
      <c r="D19" s="65"/>
      <c r="H19" s="27" t="s">
        <v>8</v>
      </c>
      <c r="I19" s="51">
        <f>SUM(I17:I18)</f>
        <v>0</v>
      </c>
      <c r="J19" s="80"/>
      <c r="L19" s="77"/>
      <c r="Q19" s="25">
        <f t="shared" si="0"/>
        <v>5844</v>
      </c>
      <c r="R19" s="3">
        <f t="shared" si="1"/>
        <v>31</v>
      </c>
      <c r="S19" s="3">
        <f t="shared" si="2"/>
        <v>12</v>
      </c>
      <c r="T19" s="3">
        <f t="shared" si="3"/>
        <v>1915</v>
      </c>
    </row>
    <row r="20" spans="1:20" ht="12.75">
      <c r="A20" s="65"/>
      <c r="B20" s="65"/>
      <c r="C20" s="65"/>
      <c r="D20" s="65"/>
      <c r="Q20" s="25">
        <f t="shared" si="0"/>
        <v>6210</v>
      </c>
      <c r="R20" s="3">
        <f t="shared" si="1"/>
        <v>31</v>
      </c>
      <c r="S20" s="3">
        <f t="shared" si="2"/>
        <v>12</v>
      </c>
      <c r="T20" s="3">
        <f t="shared" si="3"/>
        <v>1916</v>
      </c>
    </row>
    <row r="21" spans="1:20" ht="12.75">
      <c r="A21" s="65"/>
      <c r="B21" s="65"/>
      <c r="C21" s="65"/>
      <c r="D21" s="65"/>
      <c r="Q21" s="25">
        <f t="shared" si="0"/>
        <v>6575</v>
      </c>
      <c r="R21" s="3">
        <f t="shared" si="1"/>
        <v>31</v>
      </c>
      <c r="S21" s="3">
        <f t="shared" si="2"/>
        <v>12</v>
      </c>
      <c r="T21" s="3">
        <f t="shared" si="3"/>
        <v>1917</v>
      </c>
    </row>
    <row r="22" spans="1:20" ht="12.75">
      <c r="A22" s="65"/>
      <c r="B22" s="65"/>
      <c r="C22" s="65"/>
      <c r="D22" s="65"/>
      <c r="Q22" s="25">
        <f t="shared" si="0"/>
        <v>6940</v>
      </c>
      <c r="R22" s="3">
        <f t="shared" si="1"/>
        <v>31</v>
      </c>
      <c r="S22" s="3">
        <f t="shared" si="2"/>
        <v>12</v>
      </c>
      <c r="T22" s="3">
        <f t="shared" si="3"/>
        <v>1918</v>
      </c>
    </row>
    <row r="23" spans="1:20" ht="12.75">
      <c r="A23" s="65"/>
      <c r="B23" s="65"/>
      <c r="C23" s="65"/>
      <c r="D23" s="65"/>
      <c r="Q23" s="25">
        <f t="shared" si="0"/>
        <v>7305</v>
      </c>
      <c r="R23" s="3">
        <f t="shared" si="1"/>
        <v>31</v>
      </c>
      <c r="S23" s="3">
        <f t="shared" si="2"/>
        <v>12</v>
      </c>
      <c r="T23" s="3">
        <f t="shared" si="3"/>
        <v>1919</v>
      </c>
    </row>
    <row r="24" spans="1:20" ht="12.75">
      <c r="A24" s="65"/>
      <c r="B24" s="65"/>
      <c r="C24" s="65"/>
      <c r="D24" s="65"/>
      <c r="Q24" s="25">
        <f t="shared" si="0"/>
        <v>7671</v>
      </c>
      <c r="R24" s="3">
        <f t="shared" si="1"/>
        <v>31</v>
      </c>
      <c r="S24" s="3">
        <f t="shared" si="2"/>
        <v>12</v>
      </c>
      <c r="T24" s="3">
        <f t="shared" si="3"/>
        <v>1920</v>
      </c>
    </row>
    <row r="25" spans="1:20" ht="12.75">
      <c r="A25" s="65"/>
      <c r="B25" s="65"/>
      <c r="C25" s="65"/>
      <c r="D25" s="65"/>
      <c r="Q25" s="25">
        <f t="shared" si="0"/>
        <v>8036</v>
      </c>
      <c r="R25" s="3">
        <f t="shared" si="1"/>
        <v>31</v>
      </c>
      <c r="S25" s="3">
        <f t="shared" si="2"/>
        <v>12</v>
      </c>
      <c r="T25" s="3">
        <f t="shared" si="3"/>
        <v>1921</v>
      </c>
    </row>
    <row r="26" spans="1:20" ht="12.75">
      <c r="A26" s="65"/>
      <c r="B26" s="89"/>
      <c r="C26" s="65"/>
      <c r="D26" s="65"/>
      <c r="Q26" s="25">
        <f t="shared" si="0"/>
        <v>8401</v>
      </c>
      <c r="R26" s="3">
        <f t="shared" si="1"/>
        <v>31</v>
      </c>
      <c r="S26" s="3">
        <f t="shared" si="2"/>
        <v>12</v>
      </c>
      <c r="T26" s="3">
        <f t="shared" si="3"/>
        <v>1922</v>
      </c>
    </row>
    <row r="27" spans="1:20" ht="12.75">
      <c r="A27" s="65"/>
      <c r="B27" s="65"/>
      <c r="C27" s="65"/>
      <c r="D27" s="65"/>
      <c r="Q27" s="25">
        <f t="shared" si="0"/>
        <v>8766</v>
      </c>
      <c r="R27" s="3">
        <f t="shared" si="1"/>
        <v>31</v>
      </c>
      <c r="S27" s="3">
        <f t="shared" si="2"/>
        <v>12</v>
      </c>
      <c r="T27" s="3">
        <f t="shared" si="3"/>
        <v>1923</v>
      </c>
    </row>
    <row r="28" spans="1:20" ht="12.75">
      <c r="A28" s="90"/>
      <c r="Q28" s="25">
        <f t="shared" si="0"/>
        <v>9132</v>
      </c>
      <c r="R28" s="3">
        <f t="shared" si="1"/>
        <v>31</v>
      </c>
      <c r="S28" s="3">
        <f t="shared" si="2"/>
        <v>12</v>
      </c>
      <c r="T28" s="3">
        <f t="shared" si="3"/>
        <v>1924</v>
      </c>
    </row>
    <row r="29" spans="1:20" ht="12.75">
      <c r="A29" s="90"/>
      <c r="Q29" s="25">
        <f t="shared" si="0"/>
        <v>9497</v>
      </c>
      <c r="R29" s="3">
        <f t="shared" si="1"/>
        <v>31</v>
      </c>
      <c r="S29" s="3">
        <f t="shared" si="2"/>
        <v>12</v>
      </c>
      <c r="T29" s="3">
        <f t="shared" si="3"/>
        <v>1925</v>
      </c>
    </row>
    <row r="30" spans="1:20" ht="12.75">
      <c r="A30" s="91" t="s">
        <v>54</v>
      </c>
      <c r="Q30" s="25">
        <f t="shared" si="0"/>
        <v>9862</v>
      </c>
      <c r="R30" s="3">
        <f t="shared" si="1"/>
        <v>31</v>
      </c>
      <c r="S30" s="3">
        <f t="shared" si="2"/>
        <v>12</v>
      </c>
      <c r="T30" s="3">
        <f t="shared" si="3"/>
        <v>1926</v>
      </c>
    </row>
    <row r="31" spans="1:20" ht="12.75">
      <c r="A31" s="90" t="s">
        <v>53</v>
      </c>
      <c r="Q31" s="25">
        <f t="shared" si="0"/>
        <v>10227</v>
      </c>
      <c r="R31" s="3">
        <f t="shared" si="1"/>
        <v>31</v>
      </c>
      <c r="S31" s="3">
        <f t="shared" si="2"/>
        <v>12</v>
      </c>
      <c r="T31" s="3">
        <f t="shared" si="3"/>
        <v>1927</v>
      </c>
    </row>
    <row r="32" spans="1:20" ht="12.75">
      <c r="A32" s="90" t="s">
        <v>49</v>
      </c>
      <c r="Q32" s="25">
        <f t="shared" si="0"/>
        <v>10593</v>
      </c>
      <c r="R32" s="3">
        <f t="shared" si="1"/>
        <v>31</v>
      </c>
      <c r="S32" s="3">
        <f t="shared" si="2"/>
        <v>12</v>
      </c>
      <c r="T32" s="3">
        <f t="shared" si="3"/>
        <v>1928</v>
      </c>
    </row>
    <row r="33" spans="1:20" ht="12.75">
      <c r="A33" s="90" t="s">
        <v>50</v>
      </c>
      <c r="Q33" s="25">
        <f t="shared" si="0"/>
        <v>10958</v>
      </c>
      <c r="R33" s="3">
        <f t="shared" si="1"/>
        <v>31</v>
      </c>
      <c r="S33" s="3">
        <f t="shared" si="2"/>
        <v>12</v>
      </c>
      <c r="T33" s="3">
        <f t="shared" si="3"/>
        <v>1929</v>
      </c>
    </row>
    <row r="34" spans="1:20" ht="12.75">
      <c r="A34" s="90" t="s">
        <v>51</v>
      </c>
      <c r="Q34" s="25">
        <f t="shared" si="0"/>
        <v>11323</v>
      </c>
      <c r="R34" s="3">
        <f t="shared" si="1"/>
        <v>31</v>
      </c>
      <c r="S34" s="3">
        <f t="shared" si="2"/>
        <v>12</v>
      </c>
      <c r="T34" s="3">
        <f t="shared" si="3"/>
        <v>1930</v>
      </c>
    </row>
    <row r="35" spans="17:20" ht="12.75">
      <c r="Q35" s="25">
        <f t="shared" si="0"/>
        <v>11688</v>
      </c>
      <c r="R35" s="3">
        <f t="shared" si="1"/>
        <v>31</v>
      </c>
      <c r="S35" s="3">
        <f t="shared" si="2"/>
        <v>12</v>
      </c>
      <c r="T35" s="3">
        <f t="shared" si="3"/>
        <v>1931</v>
      </c>
    </row>
    <row r="36" spans="17:20" ht="12.75">
      <c r="Q36" s="25">
        <f t="shared" si="0"/>
        <v>12054</v>
      </c>
      <c r="R36" s="3">
        <f t="shared" si="1"/>
        <v>31</v>
      </c>
      <c r="S36" s="3">
        <f t="shared" si="2"/>
        <v>12</v>
      </c>
      <c r="T36" s="3">
        <f t="shared" si="3"/>
        <v>1932</v>
      </c>
    </row>
    <row r="37" spans="17:20" ht="12.75">
      <c r="Q37" s="25">
        <f t="shared" si="0"/>
        <v>12419</v>
      </c>
      <c r="R37" s="3">
        <f t="shared" si="1"/>
        <v>31</v>
      </c>
      <c r="S37" s="3">
        <f t="shared" si="2"/>
        <v>12</v>
      </c>
      <c r="T37" s="3">
        <f t="shared" si="3"/>
        <v>1933</v>
      </c>
    </row>
    <row r="38" spans="17:20" ht="12.75">
      <c r="Q38" s="25">
        <f t="shared" si="0"/>
        <v>12784</v>
      </c>
      <c r="R38" s="3">
        <f t="shared" si="1"/>
        <v>31</v>
      </c>
      <c r="S38" s="3">
        <f t="shared" si="2"/>
        <v>12</v>
      </c>
      <c r="T38" s="3">
        <f t="shared" si="3"/>
        <v>1934</v>
      </c>
    </row>
    <row r="39" spans="17:20" ht="12.75">
      <c r="Q39" s="25">
        <f t="shared" si="0"/>
        <v>13149</v>
      </c>
      <c r="R39" s="3">
        <f t="shared" si="1"/>
        <v>31</v>
      </c>
      <c r="S39" s="3">
        <f t="shared" si="2"/>
        <v>12</v>
      </c>
      <c r="T39" s="3">
        <f t="shared" si="3"/>
        <v>1935</v>
      </c>
    </row>
    <row r="40" spans="17:20" ht="12.75">
      <c r="Q40" s="25">
        <f t="shared" si="0"/>
        <v>13515</v>
      </c>
      <c r="R40" s="3">
        <f t="shared" si="1"/>
        <v>31</v>
      </c>
      <c r="S40" s="3">
        <f t="shared" si="2"/>
        <v>12</v>
      </c>
      <c r="T40" s="3">
        <f t="shared" si="3"/>
        <v>1936</v>
      </c>
    </row>
    <row r="41" spans="17:20" ht="12.75">
      <c r="Q41" s="25">
        <f t="shared" si="0"/>
        <v>13880</v>
      </c>
      <c r="R41" s="3">
        <f t="shared" si="1"/>
        <v>31</v>
      </c>
      <c r="S41" s="3">
        <f t="shared" si="2"/>
        <v>12</v>
      </c>
      <c r="T41" s="3">
        <f t="shared" si="3"/>
        <v>1937</v>
      </c>
    </row>
    <row r="42" spans="17:20" ht="12.75">
      <c r="Q42" s="25">
        <f t="shared" si="0"/>
        <v>14245</v>
      </c>
      <c r="R42" s="3">
        <f t="shared" si="1"/>
        <v>31</v>
      </c>
      <c r="S42" s="3">
        <f t="shared" si="2"/>
        <v>12</v>
      </c>
      <c r="T42" s="3">
        <f t="shared" si="3"/>
        <v>1938</v>
      </c>
    </row>
    <row r="43" spans="17:20" ht="12.75">
      <c r="Q43" s="25">
        <f t="shared" si="0"/>
        <v>14610</v>
      </c>
      <c r="R43" s="3">
        <f t="shared" si="1"/>
        <v>31</v>
      </c>
      <c r="S43" s="3">
        <f t="shared" si="2"/>
        <v>12</v>
      </c>
      <c r="T43" s="3">
        <f t="shared" si="3"/>
        <v>1939</v>
      </c>
    </row>
    <row r="44" spans="17:20" ht="12.75">
      <c r="Q44" s="25">
        <f t="shared" si="0"/>
        <v>14976</v>
      </c>
      <c r="R44" s="3">
        <f t="shared" si="1"/>
        <v>31</v>
      </c>
      <c r="S44" s="3">
        <f t="shared" si="2"/>
        <v>12</v>
      </c>
      <c r="T44" s="3">
        <f t="shared" si="3"/>
        <v>1940</v>
      </c>
    </row>
    <row r="45" spans="17:20" ht="12.75">
      <c r="Q45" s="25">
        <f t="shared" si="0"/>
        <v>15341</v>
      </c>
      <c r="R45" s="3">
        <f t="shared" si="1"/>
        <v>31</v>
      </c>
      <c r="S45" s="3">
        <f t="shared" si="2"/>
        <v>12</v>
      </c>
      <c r="T45" s="3">
        <f t="shared" si="3"/>
        <v>1941</v>
      </c>
    </row>
    <row r="46" spans="17:20" ht="12.75">
      <c r="Q46" s="25">
        <f t="shared" si="0"/>
        <v>15706</v>
      </c>
      <c r="R46" s="3">
        <f t="shared" si="1"/>
        <v>31</v>
      </c>
      <c r="S46" s="3">
        <f t="shared" si="2"/>
        <v>12</v>
      </c>
      <c r="T46" s="3">
        <f t="shared" si="3"/>
        <v>1942</v>
      </c>
    </row>
    <row r="47" spans="17:20" ht="12.75">
      <c r="Q47" s="25">
        <f t="shared" si="0"/>
        <v>16071</v>
      </c>
      <c r="R47" s="3">
        <f t="shared" si="1"/>
        <v>31</v>
      </c>
      <c r="S47" s="3">
        <f t="shared" si="2"/>
        <v>12</v>
      </c>
      <c r="T47" s="3">
        <f t="shared" si="3"/>
        <v>1943</v>
      </c>
    </row>
    <row r="48" spans="17:20" ht="12.75">
      <c r="Q48" s="25">
        <f t="shared" si="0"/>
        <v>16437</v>
      </c>
      <c r="R48" s="3">
        <f t="shared" si="1"/>
        <v>31</v>
      </c>
      <c r="S48" s="3">
        <f t="shared" si="2"/>
        <v>12</v>
      </c>
      <c r="T48" s="3">
        <f t="shared" si="3"/>
        <v>1944</v>
      </c>
    </row>
    <row r="49" spans="17:20" ht="12.75">
      <c r="Q49" s="25">
        <f t="shared" si="0"/>
        <v>16802</v>
      </c>
      <c r="R49" s="3">
        <f t="shared" si="1"/>
        <v>31</v>
      </c>
      <c r="S49" s="3">
        <f t="shared" si="2"/>
        <v>12</v>
      </c>
      <c r="T49" s="3">
        <f t="shared" si="3"/>
        <v>1945</v>
      </c>
    </row>
    <row r="50" spans="17:20" ht="12.75">
      <c r="Q50" s="25">
        <f t="shared" si="0"/>
        <v>17167</v>
      </c>
      <c r="R50" s="3">
        <f t="shared" si="1"/>
        <v>31</v>
      </c>
      <c r="S50" s="3">
        <f t="shared" si="2"/>
        <v>12</v>
      </c>
      <c r="T50" s="3">
        <f t="shared" si="3"/>
        <v>1946</v>
      </c>
    </row>
    <row r="51" spans="17:20" ht="12.75">
      <c r="Q51" s="25">
        <f t="shared" si="0"/>
        <v>17532</v>
      </c>
      <c r="R51" s="3">
        <f t="shared" si="1"/>
        <v>31</v>
      </c>
      <c r="S51" s="3">
        <f t="shared" si="2"/>
        <v>12</v>
      </c>
      <c r="T51" s="3">
        <f t="shared" si="3"/>
        <v>1947</v>
      </c>
    </row>
    <row r="52" spans="17:20" ht="12.75">
      <c r="Q52" s="25">
        <f t="shared" si="0"/>
        <v>17898</v>
      </c>
      <c r="R52" s="3">
        <f t="shared" si="1"/>
        <v>31</v>
      </c>
      <c r="S52" s="3">
        <f t="shared" si="2"/>
        <v>12</v>
      </c>
      <c r="T52" s="3">
        <f t="shared" si="3"/>
        <v>1948</v>
      </c>
    </row>
    <row r="53" spans="17:20" ht="12.75">
      <c r="Q53" s="25">
        <f t="shared" si="0"/>
        <v>18263</v>
      </c>
      <c r="R53" s="3">
        <f t="shared" si="1"/>
        <v>31</v>
      </c>
      <c r="S53" s="3">
        <f t="shared" si="2"/>
        <v>12</v>
      </c>
      <c r="T53" s="3">
        <f t="shared" si="3"/>
        <v>1949</v>
      </c>
    </row>
    <row r="54" spans="17:20" ht="12.75">
      <c r="Q54" s="25">
        <f t="shared" si="0"/>
        <v>18628</v>
      </c>
      <c r="R54" s="3">
        <f t="shared" si="1"/>
        <v>31</v>
      </c>
      <c r="S54" s="3">
        <f t="shared" si="2"/>
        <v>12</v>
      </c>
      <c r="T54" s="3">
        <f t="shared" si="3"/>
        <v>1950</v>
      </c>
    </row>
    <row r="55" spans="17:20" ht="12.75">
      <c r="Q55" s="25">
        <f t="shared" si="0"/>
        <v>18993</v>
      </c>
      <c r="R55" s="3">
        <f t="shared" si="1"/>
        <v>31</v>
      </c>
      <c r="S55" s="3">
        <f t="shared" si="2"/>
        <v>12</v>
      </c>
      <c r="T55" s="3">
        <f t="shared" si="3"/>
        <v>1951</v>
      </c>
    </row>
    <row r="56" spans="17:20" ht="12.75">
      <c r="Q56" s="25">
        <f t="shared" si="0"/>
        <v>19359</v>
      </c>
      <c r="R56" s="3">
        <f t="shared" si="1"/>
        <v>31</v>
      </c>
      <c r="S56" s="3">
        <f t="shared" si="2"/>
        <v>12</v>
      </c>
      <c r="T56" s="3">
        <f t="shared" si="3"/>
        <v>1952</v>
      </c>
    </row>
    <row r="57" spans="17:20" ht="12.75">
      <c r="Q57" s="25">
        <f t="shared" si="0"/>
        <v>19724</v>
      </c>
      <c r="R57" s="3">
        <f t="shared" si="1"/>
        <v>31</v>
      </c>
      <c r="S57" s="3">
        <f t="shared" si="2"/>
        <v>12</v>
      </c>
      <c r="T57" s="3">
        <f t="shared" si="3"/>
        <v>1953</v>
      </c>
    </row>
    <row r="58" spans="17:20" ht="12.75">
      <c r="Q58" s="25">
        <f t="shared" si="0"/>
        <v>20089</v>
      </c>
      <c r="R58" s="3">
        <f t="shared" si="1"/>
        <v>31</v>
      </c>
      <c r="S58" s="3">
        <f t="shared" si="2"/>
        <v>12</v>
      </c>
      <c r="T58" s="3">
        <f t="shared" si="3"/>
        <v>1954</v>
      </c>
    </row>
    <row r="59" spans="17:20" ht="12.75">
      <c r="Q59" s="25">
        <f t="shared" si="0"/>
        <v>20454</v>
      </c>
      <c r="R59" s="3">
        <f t="shared" si="1"/>
        <v>31</v>
      </c>
      <c r="S59" s="3">
        <f t="shared" si="2"/>
        <v>12</v>
      </c>
      <c r="T59" s="3">
        <f t="shared" si="3"/>
        <v>1955</v>
      </c>
    </row>
    <row r="60" spans="17:20" ht="12.75">
      <c r="Q60" s="25">
        <f t="shared" si="0"/>
        <v>20820</v>
      </c>
      <c r="R60" s="3">
        <f t="shared" si="1"/>
        <v>31</v>
      </c>
      <c r="S60" s="3">
        <f t="shared" si="2"/>
        <v>12</v>
      </c>
      <c r="T60" s="3">
        <f t="shared" si="3"/>
        <v>1956</v>
      </c>
    </row>
    <row r="61" spans="17:20" ht="12.75">
      <c r="Q61" s="25">
        <f t="shared" si="0"/>
        <v>21185</v>
      </c>
      <c r="R61" s="3">
        <f t="shared" si="1"/>
        <v>31</v>
      </c>
      <c r="S61" s="3">
        <f t="shared" si="2"/>
        <v>12</v>
      </c>
      <c r="T61" s="3">
        <f t="shared" si="3"/>
        <v>1957</v>
      </c>
    </row>
    <row r="62" spans="17:20" ht="12.75">
      <c r="Q62" s="25">
        <f t="shared" si="0"/>
        <v>21550</v>
      </c>
      <c r="R62" s="3">
        <f t="shared" si="1"/>
        <v>31</v>
      </c>
      <c r="S62" s="3">
        <f t="shared" si="2"/>
        <v>12</v>
      </c>
      <c r="T62" s="3">
        <f t="shared" si="3"/>
        <v>1958</v>
      </c>
    </row>
    <row r="63" spans="17:20" ht="12.75">
      <c r="Q63" s="25">
        <f t="shared" si="0"/>
        <v>21915</v>
      </c>
      <c r="R63" s="3">
        <f t="shared" si="1"/>
        <v>31</v>
      </c>
      <c r="S63" s="3">
        <f t="shared" si="2"/>
        <v>12</v>
      </c>
      <c r="T63" s="3">
        <f t="shared" si="3"/>
        <v>1959</v>
      </c>
    </row>
    <row r="64" spans="17:20" ht="12.75">
      <c r="Q64" s="25">
        <f t="shared" si="0"/>
        <v>22281</v>
      </c>
      <c r="R64" s="3">
        <f t="shared" si="1"/>
        <v>31</v>
      </c>
      <c r="S64" s="3">
        <f t="shared" si="2"/>
        <v>12</v>
      </c>
      <c r="T64" s="3">
        <f t="shared" si="3"/>
        <v>1960</v>
      </c>
    </row>
    <row r="65" spans="17:20" ht="12.75">
      <c r="Q65" s="25">
        <f t="shared" si="0"/>
        <v>22646</v>
      </c>
      <c r="R65" s="3">
        <f t="shared" si="1"/>
        <v>31</v>
      </c>
      <c r="S65" s="3">
        <f t="shared" si="2"/>
        <v>12</v>
      </c>
      <c r="T65" s="3">
        <f t="shared" si="3"/>
        <v>1961</v>
      </c>
    </row>
    <row r="66" spans="17:20" ht="12.75">
      <c r="Q66" s="25">
        <f t="shared" si="0"/>
        <v>23011</v>
      </c>
      <c r="R66" s="3">
        <f t="shared" si="1"/>
        <v>31</v>
      </c>
      <c r="S66" s="3">
        <f t="shared" si="2"/>
        <v>12</v>
      </c>
      <c r="T66" s="3">
        <f t="shared" si="3"/>
        <v>1962</v>
      </c>
    </row>
    <row r="67" spans="17:20" ht="12.75">
      <c r="Q67" s="25">
        <f t="shared" si="0"/>
        <v>23376</v>
      </c>
      <c r="R67" s="3">
        <f t="shared" si="1"/>
        <v>31</v>
      </c>
      <c r="S67" s="3">
        <f t="shared" si="2"/>
        <v>12</v>
      </c>
      <c r="T67" s="3">
        <f t="shared" si="3"/>
        <v>1963</v>
      </c>
    </row>
    <row r="68" spans="17:20" ht="12.75">
      <c r="Q68" s="25">
        <f t="shared" si="0"/>
        <v>23742</v>
      </c>
      <c r="R68" s="3">
        <f t="shared" si="1"/>
        <v>31</v>
      </c>
      <c r="S68" s="3">
        <f t="shared" si="2"/>
        <v>12</v>
      </c>
      <c r="T68" s="3">
        <f t="shared" si="3"/>
        <v>1964</v>
      </c>
    </row>
    <row r="69" spans="17:20" ht="12.75">
      <c r="Q69" s="25">
        <f aca="true" t="shared" si="4" ref="Q69:Q103">DATE(T69,S69,R69)</f>
        <v>24107</v>
      </c>
      <c r="R69" s="3">
        <f t="shared" si="1"/>
        <v>31</v>
      </c>
      <c r="S69" s="3">
        <f t="shared" si="2"/>
        <v>12</v>
      </c>
      <c r="T69" s="3">
        <f t="shared" si="3"/>
        <v>1965</v>
      </c>
    </row>
    <row r="70" spans="17:20" ht="12.75">
      <c r="Q70" s="25">
        <f t="shared" si="4"/>
        <v>24472</v>
      </c>
      <c r="R70" s="3">
        <f aca="true" t="shared" si="5" ref="R70:R104">DAY(Q69)</f>
        <v>31</v>
      </c>
      <c r="S70" s="3">
        <f aca="true" t="shared" si="6" ref="S70:S104">MONTH(Q69)</f>
        <v>12</v>
      </c>
      <c r="T70" s="3">
        <f aca="true" t="shared" si="7" ref="T70:T104">YEAR(Q69)+1</f>
        <v>1966</v>
      </c>
    </row>
    <row r="71" spans="17:20" ht="12.75">
      <c r="Q71" s="25">
        <f t="shared" si="4"/>
        <v>24837</v>
      </c>
      <c r="R71" s="3">
        <f t="shared" si="5"/>
        <v>31</v>
      </c>
      <c r="S71" s="3">
        <f t="shared" si="6"/>
        <v>12</v>
      </c>
      <c r="T71" s="3">
        <f t="shared" si="7"/>
        <v>1967</v>
      </c>
    </row>
    <row r="72" spans="17:20" ht="12.75">
      <c r="Q72" s="25">
        <f t="shared" si="4"/>
        <v>25203</v>
      </c>
      <c r="R72" s="3">
        <f t="shared" si="5"/>
        <v>31</v>
      </c>
      <c r="S72" s="3">
        <f t="shared" si="6"/>
        <v>12</v>
      </c>
      <c r="T72" s="3">
        <f t="shared" si="7"/>
        <v>1968</v>
      </c>
    </row>
    <row r="73" spans="17:20" ht="12.75">
      <c r="Q73" s="25">
        <f t="shared" si="4"/>
        <v>25568</v>
      </c>
      <c r="R73" s="3">
        <f t="shared" si="5"/>
        <v>31</v>
      </c>
      <c r="S73" s="3">
        <f t="shared" si="6"/>
        <v>12</v>
      </c>
      <c r="T73" s="3">
        <f t="shared" si="7"/>
        <v>1969</v>
      </c>
    </row>
    <row r="74" spans="17:20" ht="12.75">
      <c r="Q74" s="25">
        <f t="shared" si="4"/>
        <v>25933</v>
      </c>
      <c r="R74" s="3">
        <f t="shared" si="5"/>
        <v>31</v>
      </c>
      <c r="S74" s="3">
        <f t="shared" si="6"/>
        <v>12</v>
      </c>
      <c r="T74" s="3">
        <f t="shared" si="7"/>
        <v>1970</v>
      </c>
    </row>
    <row r="75" spans="17:20" ht="12.75">
      <c r="Q75" s="25">
        <f t="shared" si="4"/>
        <v>26298</v>
      </c>
      <c r="R75" s="3">
        <f t="shared" si="5"/>
        <v>31</v>
      </c>
      <c r="S75" s="3">
        <f t="shared" si="6"/>
        <v>12</v>
      </c>
      <c r="T75" s="3">
        <f t="shared" si="7"/>
        <v>1971</v>
      </c>
    </row>
    <row r="76" spans="17:20" ht="12.75">
      <c r="Q76" s="25">
        <f t="shared" si="4"/>
        <v>26664</v>
      </c>
      <c r="R76" s="3">
        <f t="shared" si="5"/>
        <v>31</v>
      </c>
      <c r="S76" s="3">
        <f t="shared" si="6"/>
        <v>12</v>
      </c>
      <c r="T76" s="3">
        <f t="shared" si="7"/>
        <v>1972</v>
      </c>
    </row>
    <row r="77" spans="17:20" ht="12.75">
      <c r="Q77" s="25">
        <f t="shared" si="4"/>
        <v>27029</v>
      </c>
      <c r="R77" s="3">
        <f t="shared" si="5"/>
        <v>31</v>
      </c>
      <c r="S77" s="3">
        <f t="shared" si="6"/>
        <v>12</v>
      </c>
      <c r="T77" s="3">
        <f t="shared" si="7"/>
        <v>1973</v>
      </c>
    </row>
    <row r="78" spans="17:20" ht="12.75">
      <c r="Q78" s="25">
        <f t="shared" si="4"/>
        <v>27394</v>
      </c>
      <c r="R78" s="3">
        <f t="shared" si="5"/>
        <v>31</v>
      </c>
      <c r="S78" s="3">
        <f t="shared" si="6"/>
        <v>12</v>
      </c>
      <c r="T78" s="3">
        <f t="shared" si="7"/>
        <v>1974</v>
      </c>
    </row>
    <row r="79" spans="17:20" ht="12.75">
      <c r="Q79" s="25">
        <f t="shared" si="4"/>
        <v>27759</v>
      </c>
      <c r="R79" s="3">
        <f t="shared" si="5"/>
        <v>31</v>
      </c>
      <c r="S79" s="3">
        <f t="shared" si="6"/>
        <v>12</v>
      </c>
      <c r="T79" s="3">
        <f t="shared" si="7"/>
        <v>1975</v>
      </c>
    </row>
    <row r="80" spans="17:20" ht="12.75">
      <c r="Q80" s="25">
        <f t="shared" si="4"/>
        <v>28125</v>
      </c>
      <c r="R80" s="3">
        <f t="shared" si="5"/>
        <v>31</v>
      </c>
      <c r="S80" s="3">
        <f t="shared" si="6"/>
        <v>12</v>
      </c>
      <c r="T80" s="3">
        <f t="shared" si="7"/>
        <v>1976</v>
      </c>
    </row>
    <row r="81" spans="17:20" ht="12.75">
      <c r="Q81" s="25">
        <f t="shared" si="4"/>
        <v>28490</v>
      </c>
      <c r="R81" s="3">
        <f t="shared" si="5"/>
        <v>31</v>
      </c>
      <c r="S81" s="3">
        <f t="shared" si="6"/>
        <v>12</v>
      </c>
      <c r="T81" s="3">
        <f t="shared" si="7"/>
        <v>1977</v>
      </c>
    </row>
    <row r="82" spans="17:20" ht="12.75">
      <c r="Q82" s="25">
        <f t="shared" si="4"/>
        <v>28855</v>
      </c>
      <c r="R82" s="3">
        <f t="shared" si="5"/>
        <v>31</v>
      </c>
      <c r="S82" s="3">
        <f t="shared" si="6"/>
        <v>12</v>
      </c>
      <c r="T82" s="3">
        <f t="shared" si="7"/>
        <v>1978</v>
      </c>
    </row>
    <row r="83" spans="17:20" ht="12.75">
      <c r="Q83" s="25">
        <f t="shared" si="4"/>
        <v>29220</v>
      </c>
      <c r="R83" s="3">
        <f t="shared" si="5"/>
        <v>31</v>
      </c>
      <c r="S83" s="3">
        <f t="shared" si="6"/>
        <v>12</v>
      </c>
      <c r="T83" s="3">
        <f t="shared" si="7"/>
        <v>1979</v>
      </c>
    </row>
    <row r="84" spans="17:20" ht="12.75">
      <c r="Q84" s="25">
        <f t="shared" si="4"/>
        <v>29586</v>
      </c>
      <c r="R84" s="3">
        <f t="shared" si="5"/>
        <v>31</v>
      </c>
      <c r="S84" s="3">
        <f t="shared" si="6"/>
        <v>12</v>
      </c>
      <c r="T84" s="3">
        <f t="shared" si="7"/>
        <v>1980</v>
      </c>
    </row>
    <row r="85" spans="17:20" ht="12.75">
      <c r="Q85" s="25">
        <f t="shared" si="4"/>
        <v>29951</v>
      </c>
      <c r="R85" s="3">
        <f t="shared" si="5"/>
        <v>31</v>
      </c>
      <c r="S85" s="3">
        <f t="shared" si="6"/>
        <v>12</v>
      </c>
      <c r="T85" s="3">
        <f t="shared" si="7"/>
        <v>1981</v>
      </c>
    </row>
    <row r="86" spans="17:20" ht="12.75">
      <c r="Q86" s="25">
        <f t="shared" si="4"/>
        <v>30316</v>
      </c>
      <c r="R86" s="3">
        <f t="shared" si="5"/>
        <v>31</v>
      </c>
      <c r="S86" s="3">
        <f t="shared" si="6"/>
        <v>12</v>
      </c>
      <c r="T86" s="3">
        <f t="shared" si="7"/>
        <v>1982</v>
      </c>
    </row>
    <row r="87" spans="17:20" ht="12.75">
      <c r="Q87" s="25">
        <f t="shared" si="4"/>
        <v>30681</v>
      </c>
      <c r="R87" s="3">
        <f t="shared" si="5"/>
        <v>31</v>
      </c>
      <c r="S87" s="3">
        <f t="shared" si="6"/>
        <v>12</v>
      </c>
      <c r="T87" s="3">
        <f t="shared" si="7"/>
        <v>1983</v>
      </c>
    </row>
    <row r="88" spans="17:20" ht="12.75">
      <c r="Q88" s="25">
        <f t="shared" si="4"/>
        <v>31047</v>
      </c>
      <c r="R88" s="3">
        <f t="shared" si="5"/>
        <v>31</v>
      </c>
      <c r="S88" s="3">
        <f t="shared" si="6"/>
        <v>12</v>
      </c>
      <c r="T88" s="3">
        <f t="shared" si="7"/>
        <v>1984</v>
      </c>
    </row>
    <row r="89" spans="17:20" ht="12.75">
      <c r="Q89" s="25">
        <f t="shared" si="4"/>
        <v>31412</v>
      </c>
      <c r="R89" s="3">
        <f t="shared" si="5"/>
        <v>31</v>
      </c>
      <c r="S89" s="3">
        <f t="shared" si="6"/>
        <v>12</v>
      </c>
      <c r="T89" s="3">
        <f t="shared" si="7"/>
        <v>1985</v>
      </c>
    </row>
    <row r="90" spans="17:20" ht="12.75">
      <c r="Q90" s="25">
        <f t="shared" si="4"/>
        <v>31777</v>
      </c>
      <c r="R90" s="3">
        <f t="shared" si="5"/>
        <v>31</v>
      </c>
      <c r="S90" s="3">
        <f t="shared" si="6"/>
        <v>12</v>
      </c>
      <c r="T90" s="3">
        <f t="shared" si="7"/>
        <v>1986</v>
      </c>
    </row>
    <row r="91" spans="17:20" ht="12.75">
      <c r="Q91" s="25">
        <f t="shared" si="4"/>
        <v>32142</v>
      </c>
      <c r="R91" s="3">
        <f t="shared" si="5"/>
        <v>31</v>
      </c>
      <c r="S91" s="3">
        <f t="shared" si="6"/>
        <v>12</v>
      </c>
      <c r="T91" s="3">
        <f t="shared" si="7"/>
        <v>1987</v>
      </c>
    </row>
    <row r="92" spans="17:20" ht="12.75">
      <c r="Q92" s="25">
        <f t="shared" si="4"/>
        <v>32508</v>
      </c>
      <c r="R92" s="3">
        <f t="shared" si="5"/>
        <v>31</v>
      </c>
      <c r="S92" s="3">
        <f t="shared" si="6"/>
        <v>12</v>
      </c>
      <c r="T92" s="3">
        <f t="shared" si="7"/>
        <v>1988</v>
      </c>
    </row>
    <row r="93" spans="17:20" ht="12.75">
      <c r="Q93" s="25">
        <f t="shared" si="4"/>
        <v>32873</v>
      </c>
      <c r="R93" s="3">
        <f t="shared" si="5"/>
        <v>31</v>
      </c>
      <c r="S93" s="3">
        <f t="shared" si="6"/>
        <v>12</v>
      </c>
      <c r="T93" s="3">
        <f t="shared" si="7"/>
        <v>1989</v>
      </c>
    </row>
    <row r="94" spans="17:20" ht="12.75">
      <c r="Q94" s="25">
        <f t="shared" si="4"/>
        <v>33238</v>
      </c>
      <c r="R94" s="3">
        <f t="shared" si="5"/>
        <v>31</v>
      </c>
      <c r="S94" s="3">
        <f t="shared" si="6"/>
        <v>12</v>
      </c>
      <c r="T94" s="3">
        <f t="shared" si="7"/>
        <v>1990</v>
      </c>
    </row>
    <row r="95" spans="17:20" ht="12.75">
      <c r="Q95" s="25">
        <f t="shared" si="4"/>
        <v>33603</v>
      </c>
      <c r="R95" s="3">
        <f t="shared" si="5"/>
        <v>31</v>
      </c>
      <c r="S95" s="3">
        <f t="shared" si="6"/>
        <v>12</v>
      </c>
      <c r="T95" s="3">
        <f t="shared" si="7"/>
        <v>1991</v>
      </c>
    </row>
    <row r="96" spans="17:20" ht="12.75">
      <c r="Q96" s="25">
        <f t="shared" si="4"/>
        <v>33969</v>
      </c>
      <c r="R96" s="3">
        <f t="shared" si="5"/>
        <v>31</v>
      </c>
      <c r="S96" s="3">
        <f t="shared" si="6"/>
        <v>12</v>
      </c>
      <c r="T96" s="3">
        <f t="shared" si="7"/>
        <v>1992</v>
      </c>
    </row>
    <row r="97" spans="17:20" ht="12.75">
      <c r="Q97" s="25">
        <f t="shared" si="4"/>
        <v>34334</v>
      </c>
      <c r="R97" s="3">
        <f t="shared" si="5"/>
        <v>31</v>
      </c>
      <c r="S97" s="3">
        <f t="shared" si="6"/>
        <v>12</v>
      </c>
      <c r="T97" s="3">
        <f t="shared" si="7"/>
        <v>1993</v>
      </c>
    </row>
    <row r="98" spans="17:20" ht="12.75">
      <c r="Q98" s="25">
        <f t="shared" si="4"/>
        <v>34699</v>
      </c>
      <c r="R98" s="3">
        <f t="shared" si="5"/>
        <v>31</v>
      </c>
      <c r="S98" s="3">
        <f t="shared" si="6"/>
        <v>12</v>
      </c>
      <c r="T98" s="3">
        <f t="shared" si="7"/>
        <v>1994</v>
      </c>
    </row>
    <row r="99" spans="17:20" ht="12.75">
      <c r="Q99" s="25">
        <f t="shared" si="4"/>
        <v>35064</v>
      </c>
      <c r="R99" s="3">
        <f t="shared" si="5"/>
        <v>31</v>
      </c>
      <c r="S99" s="3">
        <f t="shared" si="6"/>
        <v>12</v>
      </c>
      <c r="T99" s="3">
        <f t="shared" si="7"/>
        <v>1995</v>
      </c>
    </row>
    <row r="100" spans="17:20" ht="12.75">
      <c r="Q100" s="25">
        <f t="shared" si="4"/>
        <v>35430</v>
      </c>
      <c r="R100" s="3">
        <f t="shared" si="5"/>
        <v>31</v>
      </c>
      <c r="S100" s="3">
        <f t="shared" si="6"/>
        <v>12</v>
      </c>
      <c r="T100" s="3">
        <f t="shared" si="7"/>
        <v>1996</v>
      </c>
    </row>
    <row r="101" spans="17:20" ht="12.75">
      <c r="Q101" s="25">
        <f t="shared" si="4"/>
        <v>35795</v>
      </c>
      <c r="R101" s="3">
        <f t="shared" si="5"/>
        <v>31</v>
      </c>
      <c r="S101" s="3">
        <f t="shared" si="6"/>
        <v>12</v>
      </c>
      <c r="T101" s="3">
        <f t="shared" si="7"/>
        <v>1997</v>
      </c>
    </row>
    <row r="102" spans="17:20" ht="12.75">
      <c r="Q102" s="25">
        <f t="shared" si="4"/>
        <v>36160</v>
      </c>
      <c r="R102" s="3">
        <f t="shared" si="5"/>
        <v>31</v>
      </c>
      <c r="S102" s="3">
        <f t="shared" si="6"/>
        <v>12</v>
      </c>
      <c r="T102" s="3">
        <f t="shared" si="7"/>
        <v>1998</v>
      </c>
    </row>
    <row r="103" spans="17:20" ht="12.75">
      <c r="Q103" s="25">
        <f t="shared" si="4"/>
        <v>36525</v>
      </c>
      <c r="R103" s="3">
        <f t="shared" si="5"/>
        <v>31</v>
      </c>
      <c r="S103" s="3">
        <f t="shared" si="6"/>
        <v>12</v>
      </c>
      <c r="T103" s="3">
        <f t="shared" si="7"/>
        <v>1999</v>
      </c>
    </row>
    <row r="104" spans="17:20" ht="12.75">
      <c r="Q104" s="25">
        <f>DATE(T104,S104,R104)</f>
        <v>36891</v>
      </c>
      <c r="R104" s="3">
        <f t="shared" si="5"/>
        <v>31</v>
      </c>
      <c r="S104" s="3">
        <f t="shared" si="6"/>
        <v>12</v>
      </c>
      <c r="T104" s="3">
        <f t="shared" si="7"/>
        <v>2000</v>
      </c>
    </row>
  </sheetData>
  <sheetProtection password="D961" sheet="1" selectLockedCell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B7" sqref="B7"/>
    </sheetView>
  </sheetViews>
  <sheetFormatPr defaultColWidth="9.140625" defaultRowHeight="21.75"/>
  <cols>
    <col min="1" max="1" width="31.140625" style="3" bestFit="1" customWidth="1"/>
    <col min="2" max="2" width="20.7109375" style="3" customWidth="1"/>
    <col min="3" max="3" width="19.00390625" style="3" bestFit="1" customWidth="1"/>
    <col min="4" max="4" width="10.00390625" style="3" customWidth="1"/>
    <col min="5" max="5" width="17.00390625" style="3" customWidth="1"/>
    <col min="6" max="6" width="7.00390625" style="3" customWidth="1"/>
    <col min="7" max="7" width="21.00390625" style="3" customWidth="1"/>
    <col min="8" max="8" width="17.421875" style="4" customWidth="1"/>
    <col min="9" max="9" width="12.421875" style="3" hidden="1" customWidth="1"/>
    <col min="10" max="10" width="14.140625" style="3" hidden="1" customWidth="1"/>
    <col min="11" max="11" width="7.00390625" style="3" hidden="1" customWidth="1"/>
    <col min="12" max="12" width="0" style="3" hidden="1" customWidth="1"/>
    <col min="13" max="13" width="9.8515625" style="3" hidden="1" customWidth="1"/>
    <col min="14" max="16384" width="9.140625" style="3" customWidth="1"/>
  </cols>
  <sheetData>
    <row r="1" spans="1:8" s="31" customFormat="1" ht="21.75" customHeight="1">
      <c r="A1" s="93" t="s">
        <v>24</v>
      </c>
      <c r="B1" s="93"/>
      <c r="C1" s="93"/>
      <c r="H1" s="32"/>
    </row>
    <row r="2" s="31" customFormat="1" ht="21.75" customHeight="1">
      <c r="H2" s="32"/>
    </row>
    <row r="3" s="31" customFormat="1" ht="21.75" customHeight="1">
      <c r="H3" s="32"/>
    </row>
    <row r="4" spans="2:3" ht="12.75" customHeight="1">
      <c r="B4" s="2"/>
      <c r="C4" s="5" t="s">
        <v>4</v>
      </c>
    </row>
    <row r="5" spans="1:2" ht="6" customHeight="1" thickBot="1">
      <c r="A5" s="6"/>
      <c r="B5" s="2"/>
    </row>
    <row r="6" spans="1:8" ht="27" customHeight="1">
      <c r="A6" s="11" t="s">
        <v>1</v>
      </c>
      <c r="B6" s="68"/>
      <c r="C6" s="11" t="s">
        <v>9</v>
      </c>
      <c r="E6" s="8" t="s">
        <v>1</v>
      </c>
      <c r="F6" s="9"/>
      <c r="G6" s="10"/>
      <c r="H6" s="56">
        <f>+IF(B6="","",B6)</f>
      </c>
    </row>
    <row r="7" spans="1:16" ht="27" customHeight="1">
      <c r="A7" s="11" t="s">
        <v>30</v>
      </c>
      <c r="B7" s="69"/>
      <c r="C7" s="11"/>
      <c r="E7" s="12" t="s">
        <v>10</v>
      </c>
      <c r="F7" s="13"/>
      <c r="G7" s="14"/>
      <c r="H7" s="47" t="s">
        <v>55</v>
      </c>
      <c r="N7" s="67" t="s">
        <v>35</v>
      </c>
      <c r="O7" s="67" t="s">
        <v>34</v>
      </c>
      <c r="P7" s="67" t="s">
        <v>36</v>
      </c>
    </row>
    <row r="8" spans="1:16" ht="27" customHeight="1">
      <c r="A8" s="11" t="s">
        <v>31</v>
      </c>
      <c r="B8" s="69"/>
      <c r="C8" s="11"/>
      <c r="E8" s="46" t="s">
        <v>21</v>
      </c>
      <c r="F8" s="13"/>
      <c r="G8" s="14" t="s">
        <v>37</v>
      </c>
      <c r="H8" s="47" t="e">
        <f>IF(H6&gt;0,+IF((H6*1000000*0.01%*((B8-B7)/365))&lt;500,500,IF((H6*1000000*0.01%*((B8-B7)/365))&gt;10000,10000,H6*1000000*0.01%*(B8-B7)/365)),"")</f>
        <v>#VALUE!</v>
      </c>
      <c r="J8" s="3" t="e">
        <f>+#REF!*1000000*F9</f>
        <v>#REF!</v>
      </c>
      <c r="L8" s="3">
        <f>+B6*1000000*F9</f>
        <v>0</v>
      </c>
      <c r="M8" s="3" t="e">
        <f>SUM(J8:L8)</f>
        <v>#REF!</v>
      </c>
      <c r="N8" s="16">
        <v>500</v>
      </c>
      <c r="O8" s="16">
        <v>10000</v>
      </c>
      <c r="P8" s="16" t="e">
        <f>+IF(H6&gt;0,H6*1000000*0.01%*(B9/365),"")</f>
        <v>#VALUE!</v>
      </c>
    </row>
    <row r="9" spans="1:8" ht="27" customHeight="1" thickBot="1">
      <c r="A9" s="11" t="s">
        <v>32</v>
      </c>
      <c r="B9" s="70">
        <f>+IF(B8-B7&gt;0,B8-B7,"")</f>
      </c>
      <c r="C9" s="11" t="s">
        <v>33</v>
      </c>
      <c r="E9" s="1" t="s">
        <v>14</v>
      </c>
      <c r="F9" s="34"/>
      <c r="G9" s="22" t="s">
        <v>15</v>
      </c>
      <c r="H9" s="48" t="s">
        <v>48</v>
      </c>
    </row>
    <row r="10" spans="1:13" ht="27" customHeight="1" thickBot="1">
      <c r="A10" s="11" t="s">
        <v>11</v>
      </c>
      <c r="B10" s="71" t="e">
        <f>+$H$10</f>
        <v>#VALUE!</v>
      </c>
      <c r="C10" s="11" t="s">
        <v>0</v>
      </c>
      <c r="E10" s="28"/>
      <c r="F10" s="29"/>
      <c r="G10" s="30" t="s">
        <v>3</v>
      </c>
      <c r="H10" s="49" t="e">
        <f>ROUND(H8,2)</f>
        <v>#VALUE!</v>
      </c>
      <c r="I10" s="4" t="e">
        <f>IF(#REF!=0,#REF!/100*H6*1000000,#REF!/100*H6*1000000)</f>
        <v>#REF!</v>
      </c>
      <c r="M10" s="16"/>
    </row>
    <row r="11" spans="1:11" ht="27" customHeight="1" thickBot="1">
      <c r="A11" s="17" t="s">
        <v>5</v>
      </c>
      <c r="B11" s="71" t="e">
        <f>+$H$11</f>
        <v>#VALUE!</v>
      </c>
      <c r="C11" s="19"/>
      <c r="G11" s="28" t="s">
        <v>7</v>
      </c>
      <c r="H11" s="50" t="e">
        <f>+IF(H10="","",IF(H10="none","none",ROUND((H10*0.07),2)))</f>
        <v>#VALUE!</v>
      </c>
      <c r="K11" s="3" t="e">
        <f>IF(OR(#REF!&lt;5,#REF!=5),J13*#REF!,(J13*5+J14*(#REF!-5)))</f>
        <v>#REF!</v>
      </c>
    </row>
    <row r="12" spans="1:11" ht="27" customHeight="1" thickBot="1">
      <c r="A12" s="20" t="s">
        <v>6</v>
      </c>
      <c r="B12" s="71" t="e">
        <f>+$H$12</f>
        <v>#VALUE!</v>
      </c>
      <c r="C12" s="19"/>
      <c r="G12" s="27" t="s">
        <v>8</v>
      </c>
      <c r="H12" s="51" t="e">
        <f>+IF(H11="","",IF(H11="none","none",SUM(H10:H11)))</f>
        <v>#VALUE!</v>
      </c>
      <c r="I12" s="23" t="e">
        <f>+F9+#REF!/100*H6*1000000</f>
        <v>#REF!</v>
      </c>
      <c r="K12" s="3">
        <f>1000000000*0.01/100</f>
        <v>100000</v>
      </c>
    </row>
    <row r="13" spans="3:10" ht="27" customHeight="1">
      <c r="C13" s="25"/>
      <c r="I13" s="23" t="e">
        <f>+F9+#REF!/100*H6*1000000</f>
        <v>#REF!</v>
      </c>
      <c r="J13" s="24"/>
    </row>
    <row r="14" ht="12.75">
      <c r="J14" s="24"/>
    </row>
    <row r="15" spans="1:10" ht="12.75">
      <c r="A15" s="26" t="s">
        <v>13</v>
      </c>
      <c r="B15" s="26"/>
      <c r="C15" s="26"/>
      <c r="I15" s="3" t="e">
        <f>ROUND(#REF!/365,2)</f>
        <v>#REF!</v>
      </c>
      <c r="J15" s="24"/>
    </row>
    <row r="16" spans="1:3" ht="12.75">
      <c r="A16" s="26"/>
      <c r="B16" s="26"/>
      <c r="C16" s="26"/>
    </row>
    <row r="17" spans="1:3" ht="12.75">
      <c r="A17" s="26"/>
      <c r="B17" s="26"/>
      <c r="C17" s="26"/>
    </row>
    <row r="18" spans="1:3" ht="12.75">
      <c r="A18" s="26"/>
      <c r="B18" s="26"/>
      <c r="C18" s="26"/>
    </row>
    <row r="19" spans="1:3" ht="12.75">
      <c r="A19" s="26"/>
      <c r="B19" s="26"/>
      <c r="C19" s="26"/>
    </row>
    <row r="20" spans="1:3" ht="12.75">
      <c r="A20" s="26"/>
      <c r="B20" s="26"/>
      <c r="C20" s="26"/>
    </row>
    <row r="21" spans="1:3" ht="12.75">
      <c r="A21" s="26"/>
      <c r="B21" s="26"/>
      <c r="C21" s="26"/>
    </row>
    <row r="22" spans="1:3" ht="12.75">
      <c r="A22" s="26"/>
      <c r="B22" s="26"/>
      <c r="C22" s="26"/>
    </row>
    <row r="23" spans="1:3" ht="12.75">
      <c r="A23" s="26"/>
      <c r="B23" s="26"/>
      <c r="C23" s="26"/>
    </row>
    <row r="24" spans="1:3" ht="12.75">
      <c r="A24" s="26"/>
      <c r="B24" s="26"/>
      <c r="C24" s="26"/>
    </row>
    <row r="25" spans="1:3" ht="12.75">
      <c r="A25" s="26"/>
      <c r="B25" s="26"/>
      <c r="C25" s="26"/>
    </row>
    <row r="26" spans="1:3" ht="12.75">
      <c r="A26" s="26"/>
      <c r="B26" s="26"/>
      <c r="C26" s="26"/>
    </row>
    <row r="27" spans="1:3" ht="12.75">
      <c r="A27" s="26"/>
      <c r="B27" s="26"/>
      <c r="C27" s="26"/>
    </row>
    <row r="30" ht="12.75">
      <c r="A30" s="91" t="s">
        <v>54</v>
      </c>
    </row>
  </sheetData>
  <sheetProtection password="D961" sheet="1" selectLockedCell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register04</dc:creator>
  <cp:keywords/>
  <dc:description/>
  <cp:lastModifiedBy>Peerapol Pholpakpong</cp:lastModifiedBy>
  <cp:lastPrinted>2011-01-18T06:55:25Z</cp:lastPrinted>
  <dcterms:created xsi:type="dcterms:W3CDTF">2000-11-07T03:46:12Z</dcterms:created>
  <dcterms:modified xsi:type="dcterms:W3CDTF">2022-06-30T04:40:26Z</dcterms:modified>
  <cp:category/>
  <cp:version/>
  <cp:contentType/>
  <cp:contentStatus/>
</cp:coreProperties>
</file>