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75" windowHeight="8325" activeTab="1"/>
  </bookViews>
  <sheets>
    <sheet name="BOT's FRN  Settlement T+2" sheetId="1" r:id="rId1"/>
    <sheet name="BOT's FRN  Settlement T+3" sheetId="2" r:id="rId2"/>
  </sheets>
  <definedNames>
    <definedName name="_xlnm.Print_Area" localSheetId="0">'BOT''s FRN  Settlement T+2'!$B$1:$N$31</definedName>
    <definedName name="_xlnm.Print_Area" localSheetId="1">'BOT''s FRN  Settlement T+3'!$B$1:$N$31</definedName>
  </definedNames>
  <calcPr fullCalcOnLoad="1"/>
</workbook>
</file>

<file path=xl/comments1.xml><?xml version="1.0" encoding="utf-8"?>
<comments xmlns="http://schemas.openxmlformats.org/spreadsheetml/2006/main">
  <authors>
    <author>Information Technology</author>
  </authors>
  <commentList>
    <comment ref="D17" authorId="0">
      <text>
        <r>
          <rPr>
            <sz val="8"/>
            <rFont val="Tahoma"/>
            <family val="2"/>
          </rPr>
          <t>As of 25 Sep 2006, 6MBiBOR = 5.36547
K = (I2+QM)/2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sz val="8"/>
            <rFont val="Tahoma"/>
            <family val="0"/>
          </rPr>
          <t xml:space="preserve">นับจาก settlement
</t>
        </r>
      </text>
    </comment>
    <comment ref="D10" authorId="0">
      <text>
        <r>
          <rPr>
            <sz val="8"/>
            <rFont val="Tahoma"/>
            <family val="0"/>
          </rPr>
          <t xml:space="preserve">นับจาก settlement
</t>
        </r>
      </text>
    </comment>
    <comment ref="E8" authorId="0">
      <text>
        <r>
          <rPr>
            <sz val="8"/>
            <rFont val="Tahoma"/>
            <family val="0"/>
          </rPr>
          <t xml:space="preserve">ณ Trade Date
</t>
        </r>
      </text>
    </comment>
    <comment ref="E10" authorId="0">
      <text>
        <r>
          <rPr>
            <b/>
            <sz val="8"/>
            <rFont val="Tahoma"/>
            <family val="0"/>
          </rPr>
          <t>ณ Trade Date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Information Technology</author>
  </authors>
  <commentList>
    <comment ref="D17" authorId="0">
      <text>
        <r>
          <rPr>
            <sz val="8"/>
            <rFont val="Tahoma"/>
            <family val="2"/>
          </rPr>
          <t>As of 25 Sep 2006, 6MBiBOR = 5.36547
K = (I2+QM)/2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sz val="8"/>
            <rFont val="Tahoma"/>
            <family val="0"/>
          </rPr>
          <t xml:space="preserve">นับจาก settlement
</t>
        </r>
      </text>
    </comment>
    <comment ref="D10" authorId="0">
      <text>
        <r>
          <rPr>
            <sz val="8"/>
            <rFont val="Tahoma"/>
            <family val="0"/>
          </rPr>
          <t xml:space="preserve">นับจาก settlement
</t>
        </r>
      </text>
    </comment>
    <comment ref="E8" authorId="0">
      <text>
        <r>
          <rPr>
            <sz val="8"/>
            <rFont val="Tahoma"/>
            <family val="0"/>
          </rPr>
          <t xml:space="preserve">ณ Trade Date
</t>
        </r>
      </text>
    </comment>
    <comment ref="E10" authorId="0">
      <text>
        <r>
          <rPr>
            <b/>
            <sz val="8"/>
            <rFont val="Tahoma"/>
            <family val="0"/>
          </rPr>
          <t>ณ Trade Date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<sst xmlns="http://schemas.openxmlformats.org/spreadsheetml/2006/main" count="98" uniqueCount="38">
  <si>
    <t>Trade Date</t>
  </si>
  <si>
    <t>Settlement Date</t>
  </si>
  <si>
    <t>next-coupon payment</t>
  </si>
  <si>
    <t>I1</t>
  </si>
  <si>
    <t>I2</t>
  </si>
  <si>
    <t>f1</t>
  </si>
  <si>
    <t>k</t>
  </si>
  <si>
    <t>n</t>
  </si>
  <si>
    <t>h</t>
  </si>
  <si>
    <t>QM</t>
  </si>
  <si>
    <t>10 bps</t>
  </si>
  <si>
    <t>Par</t>
  </si>
  <si>
    <t>DM</t>
  </si>
  <si>
    <t>20 bps</t>
  </si>
  <si>
    <t>v</t>
  </si>
  <si>
    <r>
      <t>I</t>
    </r>
    <r>
      <rPr>
        <vertAlign val="subscript"/>
        <sz val="16"/>
        <rFont val="Angsana New"/>
        <family val="1"/>
      </rPr>
      <t>1</t>
    </r>
    <r>
      <rPr>
        <sz val="16"/>
        <rFont val="Angsana New"/>
        <family val="0"/>
      </rPr>
      <t>=</t>
    </r>
  </si>
  <si>
    <t>3M-BIBOR</t>
  </si>
  <si>
    <t>6M-BIBOR</t>
  </si>
  <si>
    <t>=</t>
  </si>
  <si>
    <t>+</t>
  </si>
  <si>
    <t>P</t>
  </si>
  <si>
    <t>*</t>
  </si>
  <si>
    <t>คำนวณหา Price</t>
  </si>
  <si>
    <t>ตัวอย่าง</t>
  </si>
  <si>
    <t>จากตัวอย่าง</t>
  </si>
  <si>
    <t>BIBOR Rate</t>
  </si>
  <si>
    <t>P (Gross Price)</t>
  </si>
  <si>
    <t>AI</t>
  </si>
  <si>
    <t>Last-coupon payment</t>
  </si>
  <si>
    <t xml:space="preserve">THB FRN อายุ 3 ปี ออกจำหน่าย 27 กันยายน 2548 จ่ายดอกเบี้ยทุกๆ 6 เดือนในวันที่ 27  มีนาคม และ 27 กันยายน ของทุกปี </t>
  </si>
  <si>
    <t xml:space="preserve"> ที่ 6MBIBOR+10 bps และครบกำหนดไถ่ถอนวันที่ 27 กันยายน 2551 (Par = 1000)</t>
  </si>
  <si>
    <t>.</t>
  </si>
  <si>
    <t>ไม่ปัด</t>
  </si>
  <si>
    <t>Display</t>
  </si>
  <si>
    <t>ปัด</t>
  </si>
  <si>
    <t>Gross Price (ไม่ปัด) - AI (ปัด)</t>
  </si>
  <si>
    <t xml:space="preserve">Clean Price </t>
  </si>
  <si>
    <t xml:space="preserve">AI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</si>
</sst>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0.00000000000000000"/>
    <numFmt numFmtId="210" formatCode="0.000000000000000000"/>
    <numFmt numFmtId="211" formatCode="0.0000000000000000000"/>
    <numFmt numFmtId="212" formatCode="_-* #,##0.0000000000000000_-;\-* #,##0.0000000000000000_-;_-* &quot;-&quot;????????????????_-;_-@_-"/>
    <numFmt numFmtId="213" formatCode="_-* #,##0.000000000000000_-;\-* #,##0.000000000000000_-;_-* &quot;-&quot;???????????????_-;_-@_-"/>
    <numFmt numFmtId="214" formatCode="0.000000"/>
    <numFmt numFmtId="215" formatCode="0.000%"/>
    <numFmt numFmtId="216" formatCode="0.0000%"/>
    <numFmt numFmtId="217" formatCode="0.00000%"/>
    <numFmt numFmtId="218" formatCode="0.000000%"/>
    <numFmt numFmtId="219" formatCode="0.0%"/>
    <numFmt numFmtId="220" formatCode="0.0"/>
    <numFmt numFmtId="221" formatCode="_-* #,##0.0_-;\-* #,##0.0_-;_-* &quot;-&quot;??_-;_-@_-"/>
    <numFmt numFmtId="222" formatCode="_-* #,##0_-;\-* #,##0_-;_-* &quot;-&quot;??_-;_-@_-"/>
    <numFmt numFmtId="223" formatCode="_-* #,##0.000_-;\-* #,##0.000_-;_-* &quot;-&quot;??_-;_-@_-"/>
    <numFmt numFmtId="224" formatCode="_-* #,##0.0000_-;\-* #,##0.0000_-;_-* &quot;-&quot;??_-;_-@_-"/>
    <numFmt numFmtId="225" formatCode="0.00000"/>
    <numFmt numFmtId="226" formatCode="_-* #,##0.00000_-;\-* #,##0.00000_-;_-* &quot;-&quot;??_-;_-@_-"/>
    <numFmt numFmtId="227" formatCode="_-* #,##0.000000_-;\-* #,##0.000000_-;_-* &quot;-&quot;??_-;_-@_-"/>
    <numFmt numFmtId="228" formatCode="_-* #,##0.0000000_-;\-* #,##0.0000000_-;_-* &quot;-&quot;??_-;_-@_-"/>
    <numFmt numFmtId="229" formatCode="_-* #,##0.00000000_-;\-* #,##0.00000000_-;_-* &quot;-&quot;??_-;_-@_-"/>
    <numFmt numFmtId="230" formatCode="_-* #,##0.000000000_-;\-* #,##0.000000000_-;_-* &quot;-&quot;??_-;_-@_-"/>
    <numFmt numFmtId="231" formatCode="_-* #,##0.000000_-;\-* #,##0.000000_-;_-* &quot;-&quot;??????_-;_-@_-"/>
    <numFmt numFmtId="232" formatCode="_-* #,##0.0000000000_-;\-* #,##0.0000000000_-;_-* &quot;-&quot;??_-;_-@_-"/>
    <numFmt numFmtId="233" formatCode="_-* #,##0.0000000000000000_-;\-* #,##0.0000000000000000_-;_-* &quot;-&quot;???????????????_-;_-@_-"/>
    <numFmt numFmtId="234" formatCode="_-* #,##0.00000000000000_-;\-* #,##0.00000000000000_-;_-* &quot;-&quot;???????????????_-;_-@_-"/>
    <numFmt numFmtId="235" formatCode="0.00000000000000000000"/>
    <numFmt numFmtId="236" formatCode="_-* #,##0.00000000_-;\-* #,##0.00000000_-;_-* &quot;-&quot;????????_-;_-@_-"/>
  </numFmts>
  <fonts count="9">
    <font>
      <sz val="16"/>
      <name val="Angsana New"/>
      <family val="0"/>
    </font>
    <font>
      <u val="single"/>
      <sz val="16"/>
      <color indexed="12"/>
      <name val="Angsana New"/>
      <family val="0"/>
    </font>
    <font>
      <u val="single"/>
      <sz val="16"/>
      <color indexed="36"/>
      <name val="Angsana New"/>
      <family val="0"/>
    </font>
    <font>
      <vertAlign val="subscript"/>
      <sz val="16"/>
      <name val="Angsana New"/>
      <family val="1"/>
    </font>
    <font>
      <b/>
      <u val="single"/>
      <sz val="16"/>
      <name val="Angsana New"/>
      <family val="1"/>
    </font>
    <font>
      <sz val="8"/>
      <name val="Tahoma"/>
      <family val="0"/>
    </font>
    <font>
      <b/>
      <sz val="16"/>
      <name val="Angsana New"/>
      <family val="1"/>
    </font>
    <font>
      <b/>
      <sz val="8"/>
      <name val="Tahoma"/>
      <family val="0"/>
    </font>
    <font>
      <b/>
      <sz val="8"/>
      <name val="Angsana New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07" fontId="0" fillId="0" borderId="0" xfId="0" applyNumberFormat="1" applyAlignment="1">
      <alignment/>
    </xf>
    <xf numFmtId="21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213" fontId="0" fillId="0" borderId="0" xfId="15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14" fontId="0" fillId="0" borderId="0" xfId="0" applyNumberFormat="1" applyAlignment="1">
      <alignment/>
    </xf>
    <xf numFmtId="0" fontId="4" fillId="0" borderId="0" xfId="0" applyFont="1" applyAlignment="1">
      <alignment/>
    </xf>
    <xf numFmtId="207" fontId="0" fillId="0" borderId="0" xfId="15" applyNumberFormat="1" applyAlignment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94" fontId="0" fillId="0" borderId="0" xfId="15" applyAlignment="1">
      <alignment/>
    </xf>
    <xf numFmtId="227" fontId="0" fillId="0" borderId="0" xfId="0" applyNumberFormat="1" applyAlignment="1">
      <alignment/>
    </xf>
    <xf numFmtId="234" fontId="0" fillId="0" borderId="0" xfId="15" applyNumberFormat="1" applyAlignment="1">
      <alignment/>
    </xf>
    <xf numFmtId="205" fontId="0" fillId="0" borderId="0" xfId="0" applyNumberFormat="1" applyAlignment="1">
      <alignment/>
    </xf>
    <xf numFmtId="194" fontId="0" fillId="0" borderId="0" xfId="15" applyFill="1" applyAlignment="1">
      <alignment/>
    </xf>
    <xf numFmtId="222" fontId="0" fillId="0" borderId="0" xfId="15" applyNumberForma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214" fontId="0" fillId="3" borderId="0" xfId="0" applyNumberFormat="1" applyFill="1" applyAlignment="1">
      <alignment/>
    </xf>
    <xf numFmtId="227" fontId="0" fillId="3" borderId="0" xfId="0" applyNumberFormat="1" applyFill="1" applyAlignment="1">
      <alignment/>
    </xf>
    <xf numFmtId="0" fontId="0" fillId="2" borderId="0" xfId="0" applyFill="1" applyAlignment="1">
      <alignment horizontal="center"/>
    </xf>
    <xf numFmtId="227" fontId="0" fillId="2" borderId="0" xfId="0" applyNumberFormat="1" applyFill="1" applyAlignment="1">
      <alignment/>
    </xf>
    <xf numFmtId="206" fontId="0" fillId="0" borderId="0" xfId="0" applyNumberFormat="1" applyFill="1" applyAlignment="1">
      <alignment/>
    </xf>
    <xf numFmtId="205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202" fontId="0" fillId="0" borderId="0" xfId="0" applyNumberFormat="1" applyFill="1" applyAlignment="1">
      <alignment/>
    </xf>
    <xf numFmtId="226" fontId="0" fillId="0" borderId="0" xfId="15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38</xdr:row>
      <xdr:rowOff>9525</xdr:rowOff>
    </xdr:from>
    <xdr:to>
      <xdr:col>7</xdr:col>
      <xdr:colOff>1171575</xdr:colOff>
      <xdr:row>58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652"/>
        <a:stretch>
          <a:fillRect/>
        </a:stretch>
      </xdr:blipFill>
      <xdr:spPr>
        <a:xfrm>
          <a:off x="981075" y="11268075"/>
          <a:ext cx="713422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60</xdr:row>
      <xdr:rowOff>0</xdr:rowOff>
    </xdr:from>
    <xdr:to>
      <xdr:col>11</xdr:col>
      <xdr:colOff>533400</xdr:colOff>
      <xdr:row>80</xdr:row>
      <xdr:rowOff>228600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14550" r="6738" b="16145"/>
        <a:stretch>
          <a:fillRect/>
        </a:stretch>
      </xdr:blipFill>
      <xdr:spPr>
        <a:xfrm>
          <a:off x="3181350" y="17754600"/>
          <a:ext cx="7677150" cy="6134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38</xdr:row>
      <xdr:rowOff>9525</xdr:rowOff>
    </xdr:from>
    <xdr:to>
      <xdr:col>7</xdr:col>
      <xdr:colOff>1171575</xdr:colOff>
      <xdr:row>58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652"/>
        <a:stretch>
          <a:fillRect/>
        </a:stretch>
      </xdr:blipFill>
      <xdr:spPr>
        <a:xfrm>
          <a:off x="981075" y="11268075"/>
          <a:ext cx="713422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60</xdr:row>
      <xdr:rowOff>0</xdr:rowOff>
    </xdr:from>
    <xdr:to>
      <xdr:col>11</xdr:col>
      <xdr:colOff>533400</xdr:colOff>
      <xdr:row>80</xdr:row>
      <xdr:rowOff>228600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14550" r="6738" b="16145"/>
        <a:stretch>
          <a:fillRect/>
        </a:stretch>
      </xdr:blipFill>
      <xdr:spPr>
        <a:xfrm>
          <a:off x="3181350" y="17754600"/>
          <a:ext cx="7677150" cy="6134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78"/>
  <sheetViews>
    <sheetView workbookViewId="0" topLeftCell="A13">
      <selection activeCell="C22" sqref="C22"/>
    </sheetView>
  </sheetViews>
  <sheetFormatPr defaultColWidth="9.140625" defaultRowHeight="23.25"/>
  <cols>
    <col min="2" max="2" width="17.28125" style="0" customWidth="1"/>
    <col min="3" max="3" width="18.57421875" style="0" bestFit="1" customWidth="1"/>
    <col min="4" max="4" width="22.8515625" style="0" bestFit="1" customWidth="1"/>
    <col min="5" max="5" width="11.00390625" style="0" bestFit="1" customWidth="1"/>
    <col min="6" max="6" width="21.8515625" style="0" bestFit="1" customWidth="1"/>
    <col min="7" max="7" width="3.421875" style="0" customWidth="1"/>
    <col min="8" max="8" width="24.140625" style="0" customWidth="1"/>
    <col min="9" max="9" width="2.57421875" style="0" customWidth="1"/>
    <col min="10" max="10" width="20.140625" style="0" bestFit="1" customWidth="1"/>
    <col min="11" max="11" width="3.8515625" style="0" customWidth="1"/>
    <col min="12" max="12" width="20.140625" style="0" bestFit="1" customWidth="1"/>
    <col min="13" max="13" width="3.00390625" style="0" customWidth="1"/>
    <col min="14" max="14" width="21.140625" style="0" bestFit="1" customWidth="1"/>
    <col min="15" max="15" width="2.57421875" style="0" customWidth="1"/>
    <col min="16" max="16" width="19.140625" style="0" bestFit="1" customWidth="1"/>
    <col min="17" max="17" width="2.421875" style="0" customWidth="1"/>
    <col min="18" max="18" width="20.140625" style="0" bestFit="1" customWidth="1"/>
  </cols>
  <sheetData>
    <row r="1" spans="2:3" ht="24" customHeight="1">
      <c r="B1" s="9" t="s">
        <v>23</v>
      </c>
      <c r="C1" s="6" t="s">
        <v>29</v>
      </c>
    </row>
    <row r="2" spans="2:3" ht="24" customHeight="1">
      <c r="B2" s="9"/>
      <c r="C2" s="6" t="s">
        <v>30</v>
      </c>
    </row>
    <row r="3" spans="2:8" ht="23.25">
      <c r="B3" s="6"/>
      <c r="C3" s="6"/>
      <c r="D3" s="6"/>
      <c r="E3" s="6" t="s">
        <v>25</v>
      </c>
      <c r="F3" s="6"/>
      <c r="G3" s="6"/>
      <c r="H3" s="6"/>
    </row>
    <row r="4" spans="2:8" ht="23.25">
      <c r="B4" s="6">
        <f>2551-543</f>
        <v>2008</v>
      </c>
      <c r="E4" s="6"/>
      <c r="F4" s="6"/>
      <c r="G4" s="6"/>
      <c r="H4" s="6"/>
    </row>
    <row r="5" spans="2:8" ht="23.25">
      <c r="B5" s="6"/>
      <c r="C5" s="6" t="s">
        <v>0</v>
      </c>
      <c r="D5" s="11">
        <v>39041</v>
      </c>
      <c r="E5" s="6"/>
      <c r="F5" s="6"/>
      <c r="G5" s="6"/>
      <c r="H5" s="6"/>
    </row>
    <row r="6" spans="2:8" ht="23.25">
      <c r="B6" s="6"/>
      <c r="C6" s="6" t="s">
        <v>1</v>
      </c>
      <c r="D6" s="11">
        <v>39043</v>
      </c>
      <c r="E6" s="6"/>
      <c r="F6" s="6"/>
      <c r="G6" s="6"/>
      <c r="H6" s="18"/>
    </row>
    <row r="7" spans="2:8" ht="23.25">
      <c r="B7" s="6"/>
      <c r="C7" s="6" t="s">
        <v>28</v>
      </c>
      <c r="D7" s="11">
        <v>38987</v>
      </c>
      <c r="E7" s="6"/>
      <c r="F7" s="6"/>
      <c r="G7" s="6"/>
      <c r="H7" s="6"/>
    </row>
    <row r="8" spans="2:8" ht="23.25">
      <c r="B8" s="6"/>
      <c r="C8" s="6" t="s">
        <v>16</v>
      </c>
      <c r="D8" s="11">
        <v>39135</v>
      </c>
      <c r="E8" s="6">
        <v>5.2525</v>
      </c>
      <c r="F8" s="6">
        <f>E10-E8</f>
        <v>0.022499999999999964</v>
      </c>
      <c r="G8" s="6"/>
      <c r="H8" s="6"/>
    </row>
    <row r="9" spans="2:8" ht="23.25">
      <c r="B9" s="6"/>
      <c r="C9" s="6" t="s">
        <v>2</v>
      </c>
      <c r="D9" s="11">
        <v>39168</v>
      </c>
      <c r="E9" s="6"/>
      <c r="F9" s="12">
        <f>D10-D8</f>
        <v>89</v>
      </c>
      <c r="G9" s="6"/>
      <c r="H9" s="6"/>
    </row>
    <row r="10" spans="2:8" ht="23.25">
      <c r="B10" s="6"/>
      <c r="C10" s="6" t="s">
        <v>17</v>
      </c>
      <c r="D10" s="11">
        <v>39224</v>
      </c>
      <c r="E10" s="6">
        <v>5.275</v>
      </c>
      <c r="F10" s="12">
        <f>D9-D8</f>
        <v>33</v>
      </c>
      <c r="G10" s="6"/>
      <c r="H10" s="6"/>
    </row>
    <row r="11" spans="2:9" ht="24.75">
      <c r="B11" s="6"/>
      <c r="C11" s="13" t="s">
        <v>15</v>
      </c>
      <c r="D11" s="26">
        <f>E8+(F8*(F10/F9))</f>
        <v>5.260842696629214</v>
      </c>
      <c r="E11" s="6"/>
      <c r="F11" s="6"/>
      <c r="G11" s="6"/>
      <c r="H11" s="6"/>
      <c r="I11" s="1"/>
    </row>
    <row r="12" spans="2:9" ht="23.25">
      <c r="B12" s="6"/>
      <c r="C12" s="6"/>
      <c r="D12" s="26">
        <f>ROUND(D11,5)</f>
        <v>5.26084</v>
      </c>
      <c r="E12" s="6"/>
      <c r="F12" s="6"/>
      <c r="G12" s="6"/>
      <c r="H12" s="6"/>
      <c r="I12" s="1"/>
    </row>
    <row r="13" spans="2:9" ht="23.25">
      <c r="B13" s="3" t="s">
        <v>24</v>
      </c>
      <c r="D13" s="6"/>
      <c r="E13" s="6"/>
      <c r="F13" s="6"/>
      <c r="G13" s="6"/>
      <c r="H13" s="6"/>
      <c r="I13" s="1"/>
    </row>
    <row r="14" spans="3:5" ht="23.25">
      <c r="C14" t="s">
        <v>3</v>
      </c>
      <c r="D14" s="26">
        <f>D12</f>
        <v>5.26084</v>
      </c>
      <c r="E14" s="2"/>
    </row>
    <row r="15" spans="3:4" ht="23.25">
      <c r="C15" t="s">
        <v>4</v>
      </c>
      <c r="D15">
        <f>E10</f>
        <v>5.275</v>
      </c>
    </row>
    <row r="16" spans="3:6" ht="23.25">
      <c r="C16" t="s">
        <v>5</v>
      </c>
      <c r="D16" s="6">
        <f>(D9-D6)/365</f>
        <v>0.3424657534246575</v>
      </c>
      <c r="E16" s="4"/>
      <c r="F16" s="14">
        <f>D9-D6</f>
        <v>125</v>
      </c>
    </row>
    <row r="17" spans="3:4" ht="23.25">
      <c r="C17" t="s">
        <v>6</v>
      </c>
      <c r="D17" s="30">
        <f>((5.36547+D20)/2)*10</f>
        <v>27.32735</v>
      </c>
    </row>
    <row r="18" spans="3:4" ht="23.25">
      <c r="C18" t="s">
        <v>7</v>
      </c>
      <c r="D18">
        <v>4</v>
      </c>
    </row>
    <row r="19" spans="3:4" ht="23.25">
      <c r="C19" t="s">
        <v>8</v>
      </c>
      <c r="D19">
        <v>2</v>
      </c>
    </row>
    <row r="20" spans="3:5" ht="23.25">
      <c r="C20" t="s">
        <v>9</v>
      </c>
      <c r="D20">
        <v>0.1</v>
      </c>
      <c r="E20" t="s">
        <v>10</v>
      </c>
    </row>
    <row r="21" spans="3:4" ht="23.25">
      <c r="C21" t="s">
        <v>11</v>
      </c>
      <c r="D21" s="19">
        <v>1000</v>
      </c>
    </row>
    <row r="22" spans="3:5" ht="23.25">
      <c r="C22" t="s">
        <v>12</v>
      </c>
      <c r="D22">
        <v>0.2</v>
      </c>
      <c r="E22" t="s">
        <v>13</v>
      </c>
    </row>
    <row r="23" spans="3:4" ht="23.25">
      <c r="C23" t="s">
        <v>14</v>
      </c>
      <c r="D23" s="29">
        <f>1/(1+((D15+D22)/200))</f>
        <v>0.9733544226791582</v>
      </c>
    </row>
    <row r="25" ht="23.25">
      <c r="B25" s="28" t="s">
        <v>22</v>
      </c>
    </row>
    <row r="26" spans="2:14" ht="23.25">
      <c r="B26" s="7" t="s">
        <v>20</v>
      </c>
      <c r="C26" s="7" t="s">
        <v>21</v>
      </c>
      <c r="D26" s="5">
        <f>1+(((D14+D22)/100)*D16)</f>
        <v>1.018701506849315</v>
      </c>
      <c r="E26" t="s">
        <v>18</v>
      </c>
      <c r="F26" s="10">
        <f>D17</f>
        <v>27.32735</v>
      </c>
      <c r="G26" t="s">
        <v>19</v>
      </c>
      <c r="H26" s="16">
        <f>((($D$15+$D$20)/2)*($D$23))*10</f>
        <v>26.158900109502376</v>
      </c>
      <c r="I26" t="s">
        <v>19</v>
      </c>
      <c r="J26" s="5">
        <f>((($D$15+$D$20)/2)*($D$23)^2)*10</f>
        <v>25.461881114006452</v>
      </c>
      <c r="K26" t="s">
        <v>19</v>
      </c>
      <c r="L26" s="5">
        <f>((($D$15+$D$20)/2)*($D$23)^3)*10</f>
        <v>24.78343459204911</v>
      </c>
      <c r="M26" t="s">
        <v>19</v>
      </c>
      <c r="N26" s="5">
        <f>D21*(D23)^3</f>
        <v>922.1743104018274</v>
      </c>
    </row>
    <row r="27" spans="5:8" ht="23.25">
      <c r="E27" t="s">
        <v>18</v>
      </c>
      <c r="F27" s="17">
        <f>F26+H26+J26+L26+N26</f>
        <v>1025.9058762173854</v>
      </c>
      <c r="H27" s="6"/>
    </row>
    <row r="28" spans="5:10" ht="23.25">
      <c r="E28" t="s">
        <v>18</v>
      </c>
      <c r="F28" s="1">
        <f>F27/D26</f>
        <v>1007.0721102497947</v>
      </c>
      <c r="H28" s="27"/>
      <c r="J28" s="8"/>
    </row>
    <row r="29" spans="4:10" ht="23.25">
      <c r="D29" s="21" t="s">
        <v>26</v>
      </c>
      <c r="E29" s="20" t="s">
        <v>18</v>
      </c>
      <c r="F29" s="22">
        <f>F28*(100/1000)</f>
        <v>100.70721102497947</v>
      </c>
      <c r="G29" s="20"/>
      <c r="H29" s="20" t="s">
        <v>32</v>
      </c>
      <c r="J29" s="8"/>
    </row>
    <row r="30" spans="4:8" ht="23.25">
      <c r="D30" s="21" t="s">
        <v>27</v>
      </c>
      <c r="E30" s="20" t="s">
        <v>18</v>
      </c>
      <c r="F30" s="23">
        <f>ROUND((((D6-D7)/365)*(5.36547+D20)),6)</f>
        <v>0.838538</v>
      </c>
      <c r="G30" s="20"/>
      <c r="H30" s="20" t="s">
        <v>34</v>
      </c>
    </row>
    <row r="31" spans="4:8" ht="23.25">
      <c r="D31" s="21"/>
      <c r="E31" s="20"/>
      <c r="F31" s="23"/>
      <c r="G31" s="20"/>
      <c r="H31" s="20"/>
    </row>
    <row r="32" ht="23.25">
      <c r="J32" s="19"/>
    </row>
    <row r="33" spans="3:10" ht="23.25">
      <c r="C33" s="3" t="s">
        <v>33</v>
      </c>
      <c r="D33" s="24" t="s">
        <v>36</v>
      </c>
      <c r="E33" s="3" t="s">
        <v>18</v>
      </c>
      <c r="F33" s="25">
        <f>ROUND((F29-F30),6)</f>
        <v>99.868673</v>
      </c>
      <c r="G33" s="3"/>
      <c r="H33" s="3" t="s">
        <v>35</v>
      </c>
      <c r="J33" s="15"/>
    </row>
    <row r="34" spans="3:6" ht="23.25">
      <c r="C34" s="3"/>
      <c r="D34" s="24" t="s">
        <v>37</v>
      </c>
      <c r="E34" s="3" t="s">
        <v>18</v>
      </c>
      <c r="F34" s="25">
        <f>F30</f>
        <v>0.838538</v>
      </c>
    </row>
    <row r="35" spans="3:6" ht="23.25">
      <c r="C35" s="3"/>
      <c r="D35" s="24" t="s">
        <v>26</v>
      </c>
      <c r="E35" s="3" t="s">
        <v>18</v>
      </c>
      <c r="F35" s="25">
        <f>F33+F34</f>
        <v>100.707211</v>
      </c>
    </row>
    <row r="178" ht="23.25">
      <c r="D178" t="s">
        <v>31</v>
      </c>
    </row>
  </sheetData>
  <printOptions/>
  <pageMargins left="0.23" right="0.75" top="0.23" bottom="0.35" header="0.5" footer="0.5"/>
  <pageSetup fitToHeight="1" fitToWidth="1" horizontalDpi="600" verticalDpi="600" orientation="portrait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78"/>
  <sheetViews>
    <sheetView tabSelected="1" workbookViewId="0" topLeftCell="A1">
      <selection activeCell="A11" sqref="A11"/>
    </sheetView>
  </sheetViews>
  <sheetFormatPr defaultColWidth="9.140625" defaultRowHeight="23.25"/>
  <cols>
    <col min="2" max="2" width="17.28125" style="0" customWidth="1"/>
    <col min="3" max="3" width="18.57421875" style="0" bestFit="1" customWidth="1"/>
    <col min="4" max="4" width="22.8515625" style="0" bestFit="1" customWidth="1"/>
    <col min="5" max="5" width="11.00390625" style="0" bestFit="1" customWidth="1"/>
    <col min="6" max="6" width="21.8515625" style="0" bestFit="1" customWidth="1"/>
    <col min="7" max="7" width="3.421875" style="0" customWidth="1"/>
    <col min="8" max="8" width="24.140625" style="0" customWidth="1"/>
    <col min="9" max="9" width="2.57421875" style="0" customWidth="1"/>
    <col min="10" max="10" width="20.140625" style="0" bestFit="1" customWidth="1"/>
    <col min="11" max="11" width="3.8515625" style="0" customWidth="1"/>
    <col min="12" max="12" width="20.140625" style="0" bestFit="1" customWidth="1"/>
    <col min="13" max="13" width="3.00390625" style="0" customWidth="1"/>
    <col min="14" max="14" width="21.140625" style="0" bestFit="1" customWidth="1"/>
    <col min="15" max="15" width="2.57421875" style="0" customWidth="1"/>
    <col min="16" max="16" width="19.140625" style="0" bestFit="1" customWidth="1"/>
    <col min="17" max="17" width="2.421875" style="0" customWidth="1"/>
    <col min="18" max="18" width="20.140625" style="0" bestFit="1" customWidth="1"/>
  </cols>
  <sheetData>
    <row r="1" spans="2:3" ht="24" customHeight="1">
      <c r="B1" s="9" t="s">
        <v>23</v>
      </c>
      <c r="C1" s="6" t="s">
        <v>29</v>
      </c>
    </row>
    <row r="2" spans="2:3" ht="24" customHeight="1">
      <c r="B2" s="9"/>
      <c r="C2" s="6" t="s">
        <v>30</v>
      </c>
    </row>
    <row r="3" spans="2:8" ht="23.25">
      <c r="B3" s="6"/>
      <c r="C3" s="6"/>
      <c r="D3" s="6"/>
      <c r="E3" s="6" t="s">
        <v>25</v>
      </c>
      <c r="F3" s="6"/>
      <c r="G3" s="6"/>
      <c r="H3" s="6"/>
    </row>
    <row r="4" spans="2:8" ht="23.25">
      <c r="B4" s="6">
        <f>2551-543</f>
        <v>2008</v>
      </c>
      <c r="E4" s="6"/>
      <c r="F4" s="6"/>
      <c r="G4" s="6"/>
      <c r="H4" s="6"/>
    </row>
    <row r="5" spans="2:8" ht="23.25">
      <c r="B5" s="6"/>
      <c r="C5" s="6" t="s">
        <v>0</v>
      </c>
      <c r="D5" s="11">
        <v>39041</v>
      </c>
      <c r="E5" s="6"/>
      <c r="F5" s="6"/>
      <c r="G5" s="6"/>
      <c r="H5" s="6"/>
    </row>
    <row r="6" spans="2:8" ht="23.25">
      <c r="B6" s="6"/>
      <c r="C6" s="6" t="s">
        <v>1</v>
      </c>
      <c r="D6" s="11">
        <v>39044</v>
      </c>
      <c r="E6" s="6"/>
      <c r="F6" s="6"/>
      <c r="G6" s="6"/>
      <c r="H6" s="18"/>
    </row>
    <row r="7" spans="2:8" ht="23.25">
      <c r="B7" s="6"/>
      <c r="C7" s="6" t="s">
        <v>28</v>
      </c>
      <c r="D7" s="11">
        <v>38987</v>
      </c>
      <c r="E7" s="6"/>
      <c r="F7" s="6"/>
      <c r="G7" s="6"/>
      <c r="H7" s="6"/>
    </row>
    <row r="8" spans="2:8" ht="23.25">
      <c r="B8" s="6"/>
      <c r="C8" s="6" t="s">
        <v>16</v>
      </c>
      <c r="D8" s="11">
        <v>39135</v>
      </c>
      <c r="E8" s="6">
        <v>5.2525</v>
      </c>
      <c r="F8" s="6">
        <f>E10-E8</f>
        <v>0.022499999999999964</v>
      </c>
      <c r="G8" s="6"/>
      <c r="H8" s="6"/>
    </row>
    <row r="9" spans="2:8" ht="23.25">
      <c r="B9" s="6"/>
      <c r="C9" s="6" t="s">
        <v>2</v>
      </c>
      <c r="D9" s="11">
        <v>39168</v>
      </c>
      <c r="E9" s="6"/>
      <c r="F9" s="12">
        <f>D10-D8</f>
        <v>89</v>
      </c>
      <c r="G9" s="6"/>
      <c r="H9" s="6"/>
    </row>
    <row r="10" spans="2:8" ht="23.25">
      <c r="B10" s="6"/>
      <c r="C10" s="6" t="s">
        <v>17</v>
      </c>
      <c r="D10" s="11">
        <v>39224</v>
      </c>
      <c r="E10" s="6">
        <v>5.275</v>
      </c>
      <c r="F10" s="12">
        <f>D9-D8</f>
        <v>33</v>
      </c>
      <c r="G10" s="6"/>
      <c r="H10" s="6"/>
    </row>
    <row r="11" spans="2:9" ht="24.75">
      <c r="B11" s="6"/>
      <c r="C11" s="13" t="s">
        <v>15</v>
      </c>
      <c r="D11" s="26">
        <f>E8+(F8*(F10/F9))</f>
        <v>5.260842696629214</v>
      </c>
      <c r="E11" s="6"/>
      <c r="F11" s="6"/>
      <c r="G11" s="6"/>
      <c r="H11" s="6"/>
      <c r="I11" s="1"/>
    </row>
    <row r="12" spans="2:9" ht="23.25">
      <c r="B12" s="6"/>
      <c r="C12" s="6"/>
      <c r="D12" s="26">
        <f>ROUND(D11,5)</f>
        <v>5.26084</v>
      </c>
      <c r="E12" s="6"/>
      <c r="F12" s="6"/>
      <c r="G12" s="6"/>
      <c r="H12" s="6"/>
      <c r="I12" s="1"/>
    </row>
    <row r="13" spans="2:9" ht="23.25">
      <c r="B13" s="3" t="s">
        <v>24</v>
      </c>
      <c r="D13" s="6"/>
      <c r="E13" s="6"/>
      <c r="F13" s="6"/>
      <c r="G13" s="6"/>
      <c r="H13" s="6"/>
      <c r="I13" s="1"/>
    </row>
    <row r="14" spans="3:5" ht="23.25">
      <c r="C14" t="s">
        <v>3</v>
      </c>
      <c r="D14" s="26">
        <f>D12</f>
        <v>5.26084</v>
      </c>
      <c r="E14" s="2"/>
    </row>
    <row r="15" spans="3:4" ht="23.25">
      <c r="C15" t="s">
        <v>4</v>
      </c>
      <c r="D15">
        <f>E10</f>
        <v>5.275</v>
      </c>
    </row>
    <row r="16" spans="3:6" ht="23.25">
      <c r="C16" t="s">
        <v>5</v>
      </c>
      <c r="D16" s="6">
        <f>(D9-D6)/365</f>
        <v>0.33972602739726027</v>
      </c>
      <c r="E16" s="4"/>
      <c r="F16" s="14">
        <f>D9-D6</f>
        <v>124</v>
      </c>
    </row>
    <row r="17" spans="3:4" ht="23.25">
      <c r="C17" t="s">
        <v>6</v>
      </c>
      <c r="D17" s="30">
        <f>((5.36547+D20)/2)*10</f>
        <v>27.32735</v>
      </c>
    </row>
    <row r="18" spans="3:4" ht="23.25">
      <c r="C18" t="s">
        <v>7</v>
      </c>
      <c r="D18">
        <v>4</v>
      </c>
    </row>
    <row r="19" spans="3:4" ht="23.25">
      <c r="C19" t="s">
        <v>8</v>
      </c>
      <c r="D19">
        <v>2</v>
      </c>
    </row>
    <row r="20" spans="3:5" ht="23.25">
      <c r="C20" t="s">
        <v>9</v>
      </c>
      <c r="D20">
        <v>0.1</v>
      </c>
      <c r="E20" t="s">
        <v>10</v>
      </c>
    </row>
    <row r="21" spans="3:4" ht="23.25">
      <c r="C21" t="s">
        <v>11</v>
      </c>
      <c r="D21" s="19">
        <v>1000</v>
      </c>
    </row>
    <row r="22" spans="3:5" ht="23.25">
      <c r="C22" t="s">
        <v>12</v>
      </c>
      <c r="D22">
        <v>0.2</v>
      </c>
      <c r="E22" t="s">
        <v>13</v>
      </c>
    </row>
    <row r="23" spans="3:4" ht="23.25">
      <c r="C23" t="s">
        <v>14</v>
      </c>
      <c r="D23" s="29">
        <f>1/(1+((D15+D22)/200))</f>
        <v>0.9733544226791582</v>
      </c>
    </row>
    <row r="25" ht="23.25">
      <c r="B25" s="28" t="s">
        <v>22</v>
      </c>
    </row>
    <row r="26" spans="2:14" ht="23.25">
      <c r="B26" s="7" t="s">
        <v>20</v>
      </c>
      <c r="C26" s="7" t="s">
        <v>21</v>
      </c>
      <c r="D26" s="5">
        <f>1+(((D14+D22)/100)*D16)</f>
        <v>1.0185518947945205</v>
      </c>
      <c r="E26" t="s">
        <v>18</v>
      </c>
      <c r="F26" s="10">
        <f>D17</f>
        <v>27.32735</v>
      </c>
      <c r="G26" t="s">
        <v>19</v>
      </c>
      <c r="H26" s="16">
        <f>((($D$15+$D$20)/2)*($D$23))*10</f>
        <v>26.158900109502376</v>
      </c>
      <c r="I26" t="s">
        <v>19</v>
      </c>
      <c r="J26" s="5">
        <f>((($D$15+$D$20)/2)*($D$23)^2)*10</f>
        <v>25.461881114006452</v>
      </c>
      <c r="K26" t="s">
        <v>19</v>
      </c>
      <c r="L26" s="5">
        <f>((($D$15+$D$20)/2)*($D$23)^3)*10</f>
        <v>24.78343459204911</v>
      </c>
      <c r="M26" t="s">
        <v>19</v>
      </c>
      <c r="N26" s="5">
        <f>D21*(D23)^3</f>
        <v>922.1743104018274</v>
      </c>
    </row>
    <row r="27" spans="5:8" ht="23.25">
      <c r="E27" t="s">
        <v>18</v>
      </c>
      <c r="F27" s="17">
        <f>F26+H26+J26+L26+N26</f>
        <v>1025.9058762173854</v>
      </c>
      <c r="H27" s="6"/>
    </row>
    <row r="28" spans="5:10" ht="23.25">
      <c r="E28" t="s">
        <v>18</v>
      </c>
      <c r="F28" s="1">
        <f>F27/D26</f>
        <v>1007.2200360732219</v>
      </c>
      <c r="H28" s="27"/>
      <c r="J28" s="8"/>
    </row>
    <row r="29" spans="4:10" ht="23.25">
      <c r="D29" s="21" t="s">
        <v>26</v>
      </c>
      <c r="E29" s="20" t="s">
        <v>18</v>
      </c>
      <c r="F29" s="22">
        <f>F28*(100/1000)</f>
        <v>100.7220036073222</v>
      </c>
      <c r="G29" s="20"/>
      <c r="H29" s="20" t="s">
        <v>32</v>
      </c>
      <c r="J29" s="8"/>
    </row>
    <row r="30" spans="4:8" ht="23.25">
      <c r="D30" s="21" t="s">
        <v>27</v>
      </c>
      <c r="E30" s="20" t="s">
        <v>18</v>
      </c>
      <c r="F30" s="23">
        <f>ROUND((((D6-D7)/365)*(5.36547+D20)),6)</f>
        <v>0.853512</v>
      </c>
      <c r="G30" s="20"/>
      <c r="H30" s="20" t="s">
        <v>34</v>
      </c>
    </row>
    <row r="31" spans="4:8" ht="23.25">
      <c r="D31" s="21"/>
      <c r="E31" s="20"/>
      <c r="F31" s="23"/>
      <c r="G31" s="20"/>
      <c r="H31" s="20"/>
    </row>
    <row r="32" ht="23.25">
      <c r="J32" s="19"/>
    </row>
    <row r="33" spans="3:10" ht="23.25">
      <c r="C33" s="3" t="s">
        <v>33</v>
      </c>
      <c r="D33" s="24" t="s">
        <v>36</v>
      </c>
      <c r="E33" s="3" t="s">
        <v>18</v>
      </c>
      <c r="F33" s="25">
        <f>ROUND((F29-F30),6)</f>
        <v>99.868492</v>
      </c>
      <c r="G33" s="3"/>
      <c r="H33" s="3" t="s">
        <v>35</v>
      </c>
      <c r="J33" s="15"/>
    </row>
    <row r="34" spans="3:6" ht="23.25">
      <c r="C34" s="3"/>
      <c r="D34" s="24" t="s">
        <v>27</v>
      </c>
      <c r="E34" s="3" t="s">
        <v>18</v>
      </c>
      <c r="F34" s="25">
        <f>F30</f>
        <v>0.853512</v>
      </c>
    </row>
    <row r="35" spans="3:6" ht="23.25">
      <c r="C35" s="3"/>
      <c r="D35" s="24" t="s">
        <v>26</v>
      </c>
      <c r="E35" s="3" t="s">
        <v>18</v>
      </c>
      <c r="F35" s="25">
        <f>F33+F34</f>
        <v>100.722004</v>
      </c>
    </row>
    <row r="178" ht="23.25">
      <c r="D178" t="s">
        <v>31</v>
      </c>
    </row>
  </sheetData>
  <printOptions/>
  <pageMargins left="0.23" right="0.75" top="0.23" bottom="0.35" header="0.5" footer="0.5"/>
  <pageSetup fitToHeight="1" fitToWidth="1" horizontalDpi="600" verticalDpi="600" orientation="portrait" paperSize="9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kasidit</cp:lastModifiedBy>
  <cp:lastPrinted>2006-11-29T02:28:44Z</cp:lastPrinted>
  <dcterms:created xsi:type="dcterms:W3CDTF">2006-11-24T03:27:40Z</dcterms:created>
  <dcterms:modified xsi:type="dcterms:W3CDTF">2007-01-18T04:50:41Z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